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BC/Dropbox/ Work/ SeaGlide/SeaGlide.net Resources/BOM/"/>
    </mc:Choice>
  </mc:AlternateContent>
  <bookViews>
    <workbookView xWindow="960" yWindow="460" windowWidth="24640" windowHeight="15460" tabRatio="500"/>
  </bookViews>
  <sheets>
    <sheet name="Core Seaglide BOM" sheetId="1" r:id="rId1"/>
    <sheet name="Sensor pack &amp; extra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J19" i="1"/>
  <c r="J51" i="1"/>
  <c r="H66" i="1"/>
  <c r="J66" i="1"/>
  <c r="H18" i="1"/>
  <c r="J18" i="1"/>
  <c r="H26" i="1"/>
  <c r="J26" i="1"/>
  <c r="H17" i="1"/>
  <c r="J17" i="1"/>
  <c r="F66" i="1"/>
  <c r="E30" i="1"/>
  <c r="G30" i="1"/>
  <c r="H35" i="1"/>
  <c r="I35" i="1"/>
  <c r="J41" i="2"/>
  <c r="H37" i="2"/>
  <c r="J37" i="2"/>
  <c r="J5" i="2"/>
  <c r="I7" i="2"/>
  <c r="H7" i="2"/>
  <c r="J7" i="2"/>
  <c r="J8" i="2"/>
  <c r="J9" i="2"/>
  <c r="J10" i="2"/>
  <c r="J13" i="2"/>
  <c r="J14" i="2"/>
  <c r="H15" i="2"/>
  <c r="J15" i="2"/>
  <c r="H16" i="2"/>
  <c r="J16" i="2"/>
  <c r="I17" i="2"/>
  <c r="H17" i="2"/>
  <c r="J17" i="2"/>
  <c r="J19" i="2"/>
  <c r="H20" i="2"/>
  <c r="J20" i="2"/>
  <c r="H21" i="2"/>
  <c r="J21" i="2"/>
  <c r="I23" i="2"/>
  <c r="H23" i="2"/>
  <c r="J23" i="2"/>
  <c r="I24" i="2"/>
  <c r="H24" i="2"/>
  <c r="J24" i="2"/>
  <c r="E26" i="2"/>
  <c r="H26" i="2"/>
  <c r="J26" i="2"/>
  <c r="J31" i="2"/>
  <c r="U30" i="2"/>
  <c r="L26" i="2"/>
  <c r="G24" i="2"/>
  <c r="L10" i="2"/>
  <c r="L9" i="2"/>
  <c r="L8" i="2"/>
  <c r="L7" i="2"/>
  <c r="H45" i="1"/>
  <c r="J45" i="1"/>
  <c r="H48" i="1"/>
  <c r="J48" i="1"/>
  <c r="H9" i="1"/>
  <c r="I9" i="1"/>
  <c r="E14" i="1"/>
  <c r="H14" i="1"/>
  <c r="J14" i="1"/>
  <c r="H16" i="1"/>
  <c r="J16" i="1"/>
  <c r="I24" i="1"/>
  <c r="H24" i="1"/>
  <c r="J24" i="1"/>
  <c r="I32" i="1"/>
  <c r="H32" i="1"/>
  <c r="J32" i="1"/>
  <c r="I33" i="1"/>
  <c r="H33" i="1"/>
  <c r="J33" i="1"/>
  <c r="I37" i="1"/>
  <c r="H37" i="1"/>
  <c r="J37" i="1"/>
  <c r="I38" i="1"/>
  <c r="H38" i="1"/>
  <c r="J38" i="1"/>
  <c r="I39" i="1"/>
  <c r="H39" i="1"/>
  <c r="J39" i="1"/>
  <c r="I40" i="1"/>
  <c r="H40" i="1"/>
  <c r="J40" i="1"/>
  <c r="I41" i="1"/>
  <c r="H41" i="1"/>
  <c r="J41" i="1"/>
  <c r="I42" i="1"/>
  <c r="H42" i="1"/>
  <c r="J42" i="1"/>
  <c r="I44" i="1"/>
  <c r="H44" i="1"/>
  <c r="J44" i="1"/>
  <c r="H46" i="1"/>
  <c r="J46" i="1"/>
  <c r="I28" i="1"/>
  <c r="H28" i="1"/>
  <c r="J28" i="1"/>
  <c r="J20" i="1"/>
  <c r="I34" i="1"/>
  <c r="H34" i="1"/>
  <c r="J34" i="1"/>
  <c r="J55" i="1"/>
  <c r="J1" i="1"/>
  <c r="J9" i="1"/>
  <c r="H11" i="1"/>
  <c r="H10" i="1"/>
  <c r="J11" i="1"/>
  <c r="J10" i="1"/>
  <c r="H8" i="1"/>
  <c r="J8" i="1"/>
  <c r="H7" i="1"/>
  <c r="H12" i="1"/>
  <c r="J12" i="1"/>
  <c r="H13" i="1"/>
  <c r="J13" i="1"/>
  <c r="L38" i="1"/>
  <c r="H4" i="1"/>
  <c r="J4" i="1"/>
  <c r="H5" i="1"/>
  <c r="J5" i="1"/>
  <c r="J7" i="1"/>
  <c r="H6" i="1"/>
  <c r="J6" i="1"/>
  <c r="L40" i="1"/>
  <c r="L41" i="1"/>
  <c r="L39" i="1"/>
  <c r="L37" i="1"/>
  <c r="L4" i="1"/>
  <c r="L6" i="1"/>
  <c r="L14" i="1"/>
  <c r="L5" i="1"/>
  <c r="U55" i="1"/>
</calcChain>
</file>

<file path=xl/sharedStrings.xml><?xml version="1.0" encoding="utf-8"?>
<sst xmlns="http://schemas.openxmlformats.org/spreadsheetml/2006/main" count="199" uniqueCount="188">
  <si>
    <t>Item #</t>
  </si>
  <si>
    <t>Item</t>
  </si>
  <si>
    <t>#/Glider</t>
  </si>
  <si>
    <t>#/pack</t>
  </si>
  <si>
    <t>price</t>
  </si>
  <si>
    <t>link</t>
  </si>
  <si>
    <t>pollystyrine sheet 1/16"</t>
  </si>
  <si>
    <t>40x72</t>
  </si>
  <si>
    <t>8734K22</t>
  </si>
  <si>
    <t>ft</t>
  </si>
  <si>
    <t>Heat Shrink Tubing 1/8-1/16 ID</t>
  </si>
  <si>
    <t>in</t>
  </si>
  <si>
    <t>7856K133</t>
  </si>
  <si>
    <t xml:space="preserve">tygon tubing </t>
  </si>
  <si>
    <t>5186T14</t>
  </si>
  <si>
    <t>92240A932</t>
  </si>
  <si>
    <t>Price/ glider</t>
  </si>
  <si>
    <t>est</t>
  </si>
  <si>
    <t>10k trim pot</t>
  </si>
  <si>
    <t xml:space="preserve">D4AA14-ND </t>
  </si>
  <si>
    <t>2 pin JST female rt angle brd connector</t>
  </si>
  <si>
    <t>455-1719-ND</t>
  </si>
  <si>
    <t>http://www.digikey.com/product-detail/en/S2B-PH-K-S(LF)(SN)/455-1719-ND/926626</t>
  </si>
  <si>
    <t>2x AAA Battery Holder</t>
  </si>
  <si>
    <t>BH2AAA-W-ND</t>
  </si>
  <si>
    <t>http://www.digikey.com/product-detail/en/BH2AAAW/BH2AAA-W-ND/32052</t>
  </si>
  <si>
    <t>FTDI Basic Breakout - 5V</t>
  </si>
  <si>
    <t>Arduino pro mini 328 - 5V 16MHz</t>
  </si>
  <si>
    <t>Servo - Medium Full Rotation</t>
  </si>
  <si>
    <t>https://www.sparkfun.com/products/</t>
  </si>
  <si>
    <t>http://www.mcmaster.com/#</t>
  </si>
  <si>
    <t>chip costs $4 make our own board -$5</t>
  </si>
  <si>
    <t>total</t>
  </si>
  <si>
    <t>Nathan Water Bottle</t>
  </si>
  <si>
    <t>700 ml</t>
  </si>
  <si>
    <t xml:space="preserve">Perma Proto PCBs </t>
  </si>
  <si>
    <t>https://www.adafruit.com/products/589</t>
  </si>
  <si>
    <t>RGB LED</t>
  </si>
  <si>
    <t>http://www.adafruit.com/products/302</t>
  </si>
  <si>
    <t>100CC</t>
  </si>
  <si>
    <t>100 cc syringe</t>
  </si>
  <si>
    <t> http://eastwesthydro.com/garden-supplies/measurement-tools/ecoplus/ecoplus-measure-master-syringe-100cc-740610?utm_source=google&amp;utm_medium=shopping&amp;utm_campaign=product-feed</t>
  </si>
  <si>
    <t>Should be able to reduce by $3+ by buying in bulk</t>
  </si>
  <si>
    <t>Glider Total</t>
  </si>
  <si>
    <t>This should be a high estimate, it is bassed on rates from retail / low volume suppliers</t>
  </si>
  <si>
    <t>Sensor module Bill of Materials</t>
  </si>
  <si>
    <t>open log</t>
  </si>
  <si>
    <t>UCO Matchstick Case</t>
  </si>
  <si>
    <r>
      <t>http://www.sunnysports.com/prod/UCOMC.html?refby=adl-google&amp;gclid=CMO785yQ3LcCFVKf4Aodv0kAQg&amp;kwid=productads-plaid</t>
    </r>
    <r>
      <rPr>
        <sz val="13"/>
        <color rgb="FF000000"/>
        <rFont val="Arial"/>
        <family val="2"/>
      </rPr>
      <t>^37854969965-sku^UCOMC-adType^PLA-device^c-adid^</t>
    </r>
    <r>
      <rPr>
        <sz val="13"/>
        <color rgb="FF1155CC"/>
        <rFont val="Arial"/>
        <family val="2"/>
      </rPr>
      <t>15028878485</t>
    </r>
  </si>
  <si>
    <t>tmp 102 temp sensor</t>
  </si>
  <si>
    <t>6 Pin Right Angle Female Header</t>
  </si>
  <si>
    <t>male header rt angle 0.1 pitch (24 pin)</t>
  </si>
  <si>
    <t>save by buying from DigiKey</t>
  </si>
  <si>
    <t>http://www.adafruit.com/products/102</t>
  </si>
  <si>
    <t xml:space="preserve"> SOIC-8 Breakout PCB (pressure sensor)</t>
  </si>
  <si>
    <t>https://www.adafruit.com/products/1212</t>
  </si>
  <si>
    <t>Pressure Gauge, 3-36 psia</t>
  </si>
  <si>
    <t>MPXHZ6250AC6T1CT-ND</t>
  </si>
  <si>
    <t>Freescale Semiconductor</t>
  </si>
  <si>
    <t>http://www.digikey.com/product-detail/en/MPXHZ6250AC6T1/MPXHZ6250AC6T1CT-ND/2057455</t>
  </si>
  <si>
    <t>Cermaic Disk Capacitor - 47 pF</t>
  </si>
  <si>
    <t>445-4722-ND</t>
  </si>
  <si>
    <t>http://www.digikey.com/scripts/dksearch/dksus.dll?vendor=0&amp;keywords=445-4722-ND</t>
  </si>
  <si>
    <t>Resistor - 51 K Ohms 1/8W 5% Carbon Film</t>
  </si>
  <si>
    <t>CF18JT51K0T-ND</t>
  </si>
  <si>
    <t>http://www.digikey.com/product-detail/en/CF18JT51K0/CF18JT51K0CT-ND/2022783</t>
  </si>
  <si>
    <t>Sensor Pack Total</t>
  </si>
  <si>
    <t>x</t>
  </si>
  <si>
    <t>#/ glider</t>
  </si>
  <si>
    <t>Old stuff</t>
  </si>
  <si>
    <t>2 pin JST Male with pigtail</t>
  </si>
  <si>
    <t>http://www.amazon.com/Nathan-700ml-Tritan-Bottle-Straw/dp/B00198U6TW/ref=sr_1_3?s=sporting-goods&amp;ie=UTF8&amp;qid=1385344467&amp;sr=1-3&amp;keywords=Nathan+700+ml+Tritan</t>
  </si>
  <si>
    <t>Ballast washers</t>
  </si>
  <si>
    <t>http://www.mcmaster.com/#8910K383</t>
  </si>
  <si>
    <t>8910K383</t>
  </si>
  <si>
    <t>http://www.amazon.com/3M-Reclosable-Fastener-TB3560-Clear/dp/B007OXK1WI/ref=sr_1_1?ie=UTF8&amp;qid=1392051228&amp;sr=8-1&amp;keywords=dual+lock</t>
  </si>
  <si>
    <t>pololu step up 5v regulator</t>
  </si>
  <si>
    <t>SPDT power switch</t>
  </si>
  <si>
    <t>4-Conductor 32-AWG cable</t>
  </si>
  <si>
    <t>T3017-30-ND</t>
  </si>
  <si>
    <t>http://www.digikey.com/product-detail/en/30-00217/T3017-30-ND/4368769</t>
  </si>
  <si>
    <t>http://www.pololu.com/catalog/product/1408</t>
  </si>
  <si>
    <t>MC010M-50-ND</t>
  </si>
  <si>
    <t>http://www.digikey.com/product-detail/en/3811%2F10%20300/MC010M-50-ND/3878630</t>
  </si>
  <si>
    <t>http://www.pololu.com/product/798</t>
  </si>
  <si>
    <t>10-strand ribin cable</t>
  </si>
  <si>
    <t>Marine Epoxy</t>
  </si>
  <si>
    <t>Twist tie</t>
  </si>
  <si>
    <t>BBs</t>
  </si>
  <si>
    <t>http://www.pololu.com/product/1116</t>
  </si>
  <si>
    <t>Bulk rate, direct from Nathan</t>
  </si>
  <si>
    <t>SeaGlide Bill of Materials</t>
  </si>
  <si>
    <t xml:space="preserve">hall effect sensor </t>
  </si>
  <si>
    <t>9v charger</t>
  </si>
  <si>
    <t>http://www.digikey.com/product-search/en?vendor=0&amp;keywords=OH090U</t>
  </si>
  <si>
    <t>http://www.digikey.com/product-detail/en/MLX90217LUA-CAA-000-BU/MLX90217LUA-CAA-000-BU-ND/431845</t>
  </si>
  <si>
    <t>hall effect sensor melexis</t>
  </si>
  <si>
    <t>http://www.digikey.com/product-detail/en/MPXHZ6400AC6T1/MPXHZ6400AC6T1CT-ND/2057456</t>
  </si>
  <si>
    <t xml:space="preserve">100 ft pressure sensor </t>
  </si>
  <si>
    <t>MPXHZ6400AC6T1CT-ND</t>
  </si>
  <si>
    <t>MPXHZ6400AC6T1</t>
  </si>
  <si>
    <t>http://www.digikey.com/product-detail/en/40-3979-00/515PB-ND/523397</t>
  </si>
  <si>
    <t>push push power switch</t>
  </si>
  <si>
    <t>http://www.digikey.com/product-detail/en/MBB02070C4708FRP00/BC4.70ZCT-ND/2945833</t>
  </si>
  <si>
    <t>BC4.70ZCT-ND</t>
  </si>
  <si>
    <t>drive bolt</t>
  </si>
  <si>
    <t>new, option</t>
  </si>
  <si>
    <t>MicroSD Memory Card 2GB</t>
  </si>
  <si>
    <t>large zip tie</t>
  </si>
  <si>
    <t>socket pins</t>
  </si>
  <si>
    <t>IR reciever</t>
  </si>
  <si>
    <t>electrical tape</t>
  </si>
  <si>
    <t>https://www.sparkfun.com/products/743</t>
  </si>
  <si>
    <t>http://www.adafruit.com/products/157?&amp;main_page=product_info&amp;cPath=35&amp;products_id=157</t>
  </si>
  <si>
    <t>#2 x3/8 Sheet Metal Stainless</t>
  </si>
  <si>
    <t>90065A079</t>
  </si>
  <si>
    <t>http://www.mcmaster.com/#90065a079/=snxfsx</t>
  </si>
  <si>
    <t>#6 1/2" Thread-Cutting Screws</t>
  </si>
  <si>
    <t>94629A680</t>
  </si>
  <si>
    <t>http://www.mcmaster.com/#94629A680</t>
  </si>
  <si>
    <t>Tactile Switch w/ long stem</t>
  </si>
  <si>
    <t>688-SKRGALD010</t>
  </si>
  <si>
    <t>http://www.mouser.com/ProductDetail/ALPS/SKRGALD010/?qs=%2fha2pyFadugEnlM8utu8nRtcoH%252bgQspIR8ijjiuBQqrl1y10LU%252bTtA%3d%3d</t>
  </si>
  <si>
    <t>small zip ties</t>
  </si>
  <si>
    <t>6705K31</t>
  </si>
  <si>
    <t>http://www.mcmaster.com/#6705K31</t>
  </si>
  <si>
    <t>Brass 6/16-18 nuts (jam nuts, thin)</t>
  </si>
  <si>
    <t>92174A030</t>
  </si>
  <si>
    <t>http://www.mcmaster.com/#92174A030</t>
  </si>
  <si>
    <t>3/8" ID 1" OD washer Stainless</t>
  </si>
  <si>
    <t>92141A051</t>
  </si>
  <si>
    <t>http://www.mcmaster.com/#92141A051</t>
  </si>
  <si>
    <t>get the black color option, best stock &amp; price &amp; performance</t>
  </si>
  <si>
    <t>http://www.amazon.com/Loctite-1405604-0-85-Ounce-Plastic-Syringe/dp/B000H6A3D6/ref=sr_1_1?ie=UTF8&amp;qid=1404329113&amp;sr=8-1&amp;keywords=loctite+marine+epoxy</t>
  </si>
  <si>
    <t>515PB-ND</t>
  </si>
  <si>
    <t>http://www.amazon.com/gp/product/104800001X/ref=oh_aui_detailpage_o03_s00?ie=UTF8&amp;psc=1</t>
  </si>
  <si>
    <t>Neodinium magnate 1/8"ø x 1/16"L Cylindrical</t>
  </si>
  <si>
    <t>In Future Versions</t>
  </si>
  <si>
    <t>3D printed plastic parts</t>
  </si>
  <si>
    <t>Rubber bands</t>
  </si>
  <si>
    <t>7130K56</t>
  </si>
  <si>
    <t>http://www.mcmaster.com/#7130K56</t>
  </si>
  <si>
    <t>SeaGlide</t>
  </si>
  <si>
    <t>SeaGlide PCB</t>
  </si>
  <si>
    <t>Item Notes</t>
  </si>
  <si>
    <t>jyapchua@gmail.com</t>
  </si>
  <si>
    <t>or from someone on http://www.makexyz.com/</t>
  </si>
  <si>
    <t>remote</t>
  </si>
  <si>
    <t>http://www.adafruit.com/product/389</t>
  </si>
  <si>
    <t>too thin</t>
  </si>
  <si>
    <t>9V Battery Clip</t>
  </si>
  <si>
    <t>http://www.jameco.com/webapp/wcs/stores/servlet/Product_10001_10001_216452_-1</t>
  </si>
  <si>
    <t>Latex free disposible gloves, Medium</t>
  </si>
  <si>
    <t>http://www.amazon.com/SafeTouch-Nitrile-Gloves-Latex-Powder/dp/B000OFKDXA/ref=sr_1_4_a_it?ie=UTF8&amp;qid=1462922607&amp;sr=8-4&amp;keywords=Latex-free+Gloves</t>
  </si>
  <si>
    <t>http://www.walmart.com/ip/SUPER-LUBE-82340-Multi-Purpose-Grease-Packet-1cc-G2272448/50709113?sourceid=csebr01c09f0fa105bc456aa46d7a4d2a3c1b38&amp;wmlspartner=bizratecom&amp;affcmpid=2416312356&amp;tmode=0000&amp;veh=cse&amp;affwt=popupBlank&amp;szredirectid=14628280328523165885010070302008005&amp;affwtw=980&amp;affjs=1&amp;affwth=1487</t>
  </si>
  <si>
    <t>http://www.amazon.com/Officemate-Push-Clear-Count-35711/dp/B002WN32YE</t>
  </si>
  <si>
    <t>http://www.amazon.com/Hardman-Double-Bubble-Purple-Label-04003/dp/B00K3X2660?ie=UTF8&amp;keywords=Hardman%20Double%20Bubble%20%26%2334%3BPurple-Label%26%2334%3B%20Wet-Surface%20%2304003&amp;qid=1461600859&amp;ref_=sr_1_1&amp;sr=8-1</t>
  </si>
  <si>
    <t>OR</t>
  </si>
  <si>
    <t>http://www.epoxysupply.com/double-bubble-purple-epoxy-04003/</t>
  </si>
  <si>
    <t>10"x10"</t>
  </si>
  <si>
    <t>http://www.amazon.com/Nathan-700ml-Tritan-Bottle-Straw/dp/B00198U6TW/ref=sr_1_3?ie=UTF8&amp;qid=1440161569&amp;sr=8-3&amp;keywords=nathan+700+ml+tritan+bottle+with+flip+straw</t>
  </si>
  <si>
    <t>http://www.amazon.com/Loctite-Marine-0-85-Fluid-Syringe-1405604/dp/B00KH62K50/ref=sr_1_1?ie=UTF8&amp;qid=1462924148&amp;sr=8-1&amp;keywords=loctite+marine+epoxy</t>
  </si>
  <si>
    <t xml:space="preserve">OR single use packs </t>
  </si>
  <si>
    <t xml:space="preserve">Marine epoxy </t>
  </si>
  <si>
    <t>135-2406-314</t>
  </si>
  <si>
    <t>http://www.newark.com/amphenol-spectra-strip/135-2406-314/ribbon-cable-14cond-300v-per-m/dp/23M8232</t>
  </si>
  <si>
    <t>14 Conductor, 24 AWG (need 8 conductor or more, 20-24 AWG) 14 strands x 10 inches</t>
  </si>
  <si>
    <t>Silicone grease packet lubricate drive screw</t>
  </si>
  <si>
    <t>pushpins, puncture pilot holes in syringe</t>
  </si>
  <si>
    <t>Hot melt glue</t>
  </si>
  <si>
    <t>Extras</t>
  </si>
  <si>
    <t>Steel Bar 1/4"x1"x6" need 2x6" + 1x 2.75"</t>
  </si>
  <si>
    <t>g</t>
  </si>
  <si>
    <t>http://www.amazon.com/Crosman-Copperhead-Copper-Coated-Bottle/dp/B000HKKY7M/ref=sr_1_1?s=sporting-goods&amp;ie=UTF8&amp;qid=1440186569&amp;sr=1-1&amp;keywords=bbs</t>
  </si>
  <si>
    <t>3/32” drill bit with hex drive shank</t>
  </si>
  <si>
    <t>https://www.amazon.com/dp/B0000225OK/ref=cm_sw_r_awd_5ji-vbQH34ZRW</t>
  </si>
  <si>
    <t>Reversable Philips &amp; Flat head pen-sized Screwdriver</t>
  </si>
  <si>
    <t>http://www.amazon.com/Seismic-Audio-SAPT201-Screwdriver-Repair/dp/B00CTHRH3U/ref=sr_1_63?ie=UTF8&amp;qid=1440187408&amp;sr=8-63&amp;keywords=reversible+screwdriver</t>
  </si>
  <si>
    <t>custom PCB</t>
  </si>
  <si>
    <t xml:space="preserve">or use 3 in one oil </t>
  </si>
  <si>
    <t>http://www.amazon.com/dp/B00EB3YEEU/ref=twister_B00KW3O15A?_encoding=UTF8&amp;psc=1</t>
  </si>
  <si>
    <t>http://www.amazon.com/dp/B00GLLZJ44/ref=twister_B00KW3O15A?_encoding=UTF8&amp;psc=1</t>
  </si>
  <si>
    <t xml:space="preserve">9v Li-Ion Rechargeable battery, EBL 600mAh Li-ion 9V </t>
  </si>
  <si>
    <t>3M Dura-Lock (Industrial Velcro)</t>
  </si>
  <si>
    <t>4.7 ohm 0.6W resistor</t>
  </si>
  <si>
    <t>https://oshpark.com/profiles/MBC</t>
  </si>
  <si>
    <t>http://www.digikey.com/product-detail/en/bourns-inc/3306F-1-103/3306F-103-ND/84666</t>
  </si>
  <si>
    <t xml:space="preserve">In large quantities (&gt;50) before shipping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</si>
</sst>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[Red]\-&quot;$&quot;#,##0.00"/>
    <numFmt numFmtId="165" formatCode="_([$$-409]* #,##0.00_);_([$$-409]* \(#,##0.00\);_([$$-409]* &quot;-&quot;??_);_(@_)"/>
    <numFmt numFmtId="166" formatCode="0.0"/>
    <numFmt numFmtId="167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  <font>
      <sz val="13"/>
      <color rgb="FF1155CC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</font>
    <font>
      <strike/>
      <sz val="12"/>
      <color theme="1"/>
      <name val="Calibri"/>
      <scheme val="minor"/>
    </font>
    <font>
      <b/>
      <strike/>
      <sz val="12"/>
      <color theme="1"/>
      <name val="Calibri"/>
      <scheme val="minor"/>
    </font>
    <font>
      <sz val="12"/>
      <color rgb="FF9C6500"/>
      <name val="Calibri"/>
      <family val="2"/>
      <scheme val="minor"/>
    </font>
    <font>
      <strike/>
      <sz val="12"/>
      <color rgb="FF000000"/>
      <name val="Arial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-apple-system-fon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0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/>
    <xf numFmtId="0" fontId="3" fillId="0" borderId="0" xfId="2"/>
    <xf numFmtId="0" fontId="0" fillId="0" borderId="0" xfId="0" applyFill="1"/>
    <xf numFmtId="0" fontId="4" fillId="0" borderId="0" xfId="2" applyFont="1"/>
    <xf numFmtId="166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44" fontId="6" fillId="0" borderId="0" xfId="0" applyNumberFormat="1" applyFon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4" fontId="6" fillId="0" borderId="0" xfId="0" applyNumberFormat="1" applyFont="1" applyFill="1" applyBorder="1"/>
    <xf numFmtId="0" fontId="4" fillId="0" borderId="0" xfId="2" applyFont="1" applyAlignment="1">
      <alignment horizontal="center"/>
    </xf>
    <xf numFmtId="0" fontId="6" fillId="0" borderId="0" xfId="0" applyFo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/>
    <xf numFmtId="167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4" fontId="0" fillId="0" borderId="0" xfId="1" applyFont="1" applyBorder="1"/>
    <xf numFmtId="2" fontId="6" fillId="0" borderId="0" xfId="0" applyNumberFormat="1" applyFont="1" applyAlignment="1">
      <alignment horizontal="center"/>
    </xf>
    <xf numFmtId="6" fontId="0" fillId="0" borderId="0" xfId="0" applyNumberFormat="1" applyBorder="1"/>
    <xf numFmtId="0" fontId="0" fillId="0" borderId="0" xfId="0" applyBorder="1" applyAlignment="1">
      <alignment horizontal="right"/>
    </xf>
    <xf numFmtId="165" fontId="2" fillId="2" borderId="1" xfId="0" applyNumberFormat="1" applyFont="1" applyFill="1" applyBorder="1"/>
    <xf numFmtId="0" fontId="0" fillId="2" borderId="1" xfId="0" applyFill="1" applyBorder="1"/>
    <xf numFmtId="0" fontId="8" fillId="0" borderId="0" xfId="0" applyFont="1"/>
    <xf numFmtId="0" fontId="3" fillId="0" borderId="0" xfId="2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3" fillId="0" borderId="0" xfId="2" applyFont="1" applyBorder="1"/>
    <xf numFmtId="0" fontId="0" fillId="0" borderId="0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44" fontId="2" fillId="0" borderId="0" xfId="1" applyFont="1" applyAlignment="1">
      <alignment horizontal="right"/>
    </xf>
    <xf numFmtId="0" fontId="10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3" fillId="0" borderId="0" xfId="2" applyFill="1"/>
    <xf numFmtId="0" fontId="11" fillId="0" borderId="0" xfId="0" applyFont="1"/>
    <xf numFmtId="0" fontId="11" fillId="0" borderId="0" xfId="0" applyFont="1" applyFill="1"/>
    <xf numFmtId="0" fontId="2" fillId="2" borderId="0" xfId="0" applyFont="1" applyFill="1"/>
    <xf numFmtId="0" fontId="0" fillId="0" borderId="0" xfId="0" applyFont="1" applyFill="1"/>
    <xf numFmtId="0" fontId="0" fillId="2" borderId="0" xfId="0" applyFill="1" applyBorder="1"/>
    <xf numFmtId="0" fontId="0" fillId="0" borderId="2" xfId="0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0" borderId="0" xfId="2" applyAlignment="1">
      <alignment horizontal="center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10" fillId="0" borderId="0" xfId="0" applyFont="1" applyFill="1"/>
    <xf numFmtId="0" fontId="3" fillId="0" borderId="0" xfId="2" applyFill="1" applyAlignment="1">
      <alignment horizontal="center"/>
    </xf>
    <xf numFmtId="0" fontId="2" fillId="0" borderId="0" xfId="0" applyFont="1" applyFill="1" applyAlignment="1">
      <alignment horizontal="center"/>
    </xf>
    <xf numFmtId="44" fontId="0" fillId="0" borderId="0" xfId="1" applyFont="1" applyFill="1" applyBorder="1"/>
    <xf numFmtId="0" fontId="3" fillId="0" borderId="0" xfId="2" applyFill="1" applyBorder="1"/>
    <xf numFmtId="0" fontId="0" fillId="0" borderId="0" xfId="0" applyFont="1" applyFill="1" applyBorder="1"/>
    <xf numFmtId="44" fontId="0" fillId="0" borderId="0" xfId="1" applyFont="1" applyFill="1"/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0" fontId="3" fillId="0" borderId="0" xfId="2" applyFont="1" applyFill="1"/>
    <xf numFmtId="0" fontId="6" fillId="0" borderId="0" xfId="0" applyFont="1" applyFill="1"/>
    <xf numFmtId="0" fontId="2" fillId="0" borderId="0" xfId="0" applyFont="1" applyFill="1"/>
    <xf numFmtId="0" fontId="4" fillId="0" borderId="0" xfId="2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2" fontId="6" fillId="0" borderId="0" xfId="0" applyNumberFormat="1" applyFont="1" applyFill="1" applyAlignment="1">
      <alignment horizontal="center"/>
    </xf>
    <xf numFmtId="6" fontId="0" fillId="0" borderId="0" xfId="0" applyNumberFormat="1" applyFill="1" applyBorder="1"/>
    <xf numFmtId="164" fontId="0" fillId="0" borderId="0" xfId="0" applyNumberFormat="1" applyFill="1" applyBorder="1"/>
    <xf numFmtId="0" fontId="0" fillId="5" borderId="0" xfId="0" applyFill="1"/>
    <xf numFmtId="0" fontId="11" fillId="0" borderId="0" xfId="0" applyFont="1" applyAlignment="1">
      <alignment horizontal="center"/>
    </xf>
    <xf numFmtId="0" fontId="14" fillId="0" borderId="0" xfId="0" applyFont="1"/>
    <xf numFmtId="2" fontId="11" fillId="0" borderId="0" xfId="0" applyNumberFormat="1" applyFont="1" applyAlignment="1">
      <alignment horizontal="center"/>
    </xf>
    <xf numFmtId="44" fontId="11" fillId="0" borderId="0" xfId="1" applyFont="1"/>
    <xf numFmtId="167" fontId="12" fillId="0" borderId="0" xfId="0" applyNumberFormat="1" applyFont="1" applyAlignment="1">
      <alignment horizontal="center"/>
    </xf>
    <xf numFmtId="6" fontId="0" fillId="0" borderId="0" xfId="0" applyNumberFormat="1" applyFont="1" applyFill="1"/>
    <xf numFmtId="0" fontId="2" fillId="2" borderId="0" xfId="0" applyFont="1" applyFill="1" applyBorder="1"/>
    <xf numFmtId="0" fontId="2" fillId="2" borderId="1" xfId="0" applyFont="1" applyFill="1" applyBorder="1"/>
    <xf numFmtId="0" fontId="15" fillId="0" borderId="0" xfId="0" applyFont="1" applyFill="1"/>
    <xf numFmtId="8" fontId="2" fillId="0" borderId="0" xfId="0" applyNumberFormat="1" applyFont="1" applyAlignment="1">
      <alignment horizontal="center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2" fontId="18" fillId="0" borderId="0" xfId="0" applyNumberFormat="1" applyFont="1" applyAlignment="1">
      <alignment horizontal="center"/>
    </xf>
    <xf numFmtId="0" fontId="3" fillId="0" borderId="0" xfId="2" applyFill="1" applyBorder="1" applyAlignment="1" applyProtection="1">
      <alignment horizontal="left" vertical="center"/>
      <protection locked="0"/>
    </xf>
    <xf numFmtId="0" fontId="3" fillId="0" borderId="0" xfId="2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19" fillId="0" borderId="0" xfId="0" applyFont="1" applyBorder="1" applyAlignment="1">
      <alignment horizontal="left"/>
    </xf>
    <xf numFmtId="0" fontId="0" fillId="0" borderId="0" xfId="0" applyFill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/>
    </xf>
    <xf numFmtId="0" fontId="13" fillId="0" borderId="0" xfId="97" applyFill="1" applyAlignment="1">
      <alignment horizontal="right"/>
    </xf>
    <xf numFmtId="0" fontId="0" fillId="2" borderId="0" xfId="0" applyFill="1"/>
  </cellXfs>
  <cellStyles count="200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/>
    <cellStyle name="Neutral" xfId="97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cmaster.com/" TargetMode="External"/><Relationship Id="rId12" Type="http://schemas.openxmlformats.org/officeDocument/2006/relationships/hyperlink" Target="http://www.makexyz.com/" TargetMode="External"/><Relationship Id="rId13" Type="http://schemas.openxmlformats.org/officeDocument/2006/relationships/hyperlink" Target="http://www.autohausaz.com/search/product.aspx?partnumber=TG-1&amp;utm_source=google&amp;utm_medium=nonpaid&amp;utm_campaign=frooglePN&amp;utm_term=TG1&amp;crossref=TG1&amp;gclid=Cj0KEQjwmNuuBRDTu5rDjr2kxJsBEiQAWlm6UtvNGWLi4KjvvoILTW-scdZKxggCxYtRgMrBYopHGysaAnCa8P8HAQ" TargetMode="External"/><Relationship Id="rId14" Type="http://schemas.openxmlformats.org/officeDocument/2006/relationships/hyperlink" Target="http://www.digikey.com/product-detail/en/3811%2F10%20300/MC010M-50-ND/3878630" TargetMode="External"/><Relationship Id="rId15" Type="http://schemas.openxmlformats.org/officeDocument/2006/relationships/hyperlink" Target="http://www.amazon.com/Crosman-Copperhead-Copper-Coated-Bottle/dp/B000HKKY7M/ref=sr_1_1?s=sporting-goods&amp;ie=UTF8&amp;qid=1440186569&amp;sr=1-1&amp;keywords=bbs" TargetMode="External"/><Relationship Id="rId16" Type="http://schemas.openxmlformats.org/officeDocument/2006/relationships/hyperlink" Target="http://www.digikey.com/product-detail/en/bourns-inc/3306F-1-103/3306F-103-ND/84666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digikey.com/product-detail/en/S2B-PH-K-S(LF)(SN)/455-1719-ND/926626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adafruit.com/products/302" TargetMode="External"/><Relationship Id="rId8" Type="http://schemas.openxmlformats.org/officeDocument/2006/relationships/hyperlink" Target="http://eastwesthydro.com/garden-supplies/measurement-tools/ecoplus/ecoplus-measure-master-syringe-100cc-740610?utm_source=google&amp;utm_medium=shopping&amp;utm_campaign=product-feed" TargetMode="External"/><Relationship Id="rId9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BH2AAAW/BH2AAA-W-ND/32052" TargetMode="External"/><Relationship Id="rId4" Type="http://schemas.openxmlformats.org/officeDocument/2006/relationships/hyperlink" Target="http://www.mcmaster.com/" TargetMode="External"/><Relationship Id="rId1" Type="http://schemas.openxmlformats.org/officeDocument/2006/relationships/hyperlink" Target="http://www.adafruit.com/products/102" TargetMode="External"/><Relationship Id="rId2" Type="http://schemas.openxmlformats.org/officeDocument/2006/relationships/hyperlink" Target="https://www.adafruit.com/products/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7"/>
  <sheetViews>
    <sheetView tabSelected="1" topLeftCell="A3" workbookViewId="0">
      <pane xSplit="25220" ySplit="760" topLeftCell="I1" activePane="bottomLeft"/>
      <selection activeCell="I3" sqref="I3"/>
      <selection pane="topRight" activeCell="I3" sqref="I3"/>
      <selection pane="bottomLeft" activeCell="M57" sqref="M57"/>
      <selection pane="bottomRight" activeCell="I21" sqref="I21"/>
    </sheetView>
  </sheetViews>
  <sheetFormatPr baseColWidth="10" defaultColWidth="11" defaultRowHeight="16" x14ac:dyDescent="0.2"/>
  <cols>
    <col min="1" max="1" width="18.33203125" customWidth="1"/>
    <col min="2" max="2" width="33.6640625" customWidth="1"/>
    <col min="4" max="4" width="5.5" customWidth="1"/>
    <col min="7" max="7" width="2" customWidth="1"/>
    <col min="11" max="11" width="2.6640625" customWidth="1"/>
    <col min="12" max="13" width="11.33203125" customWidth="1"/>
    <col min="14" max="14" width="5.5" bestFit="1" customWidth="1"/>
  </cols>
  <sheetData>
    <row r="1" spans="1:14" x14ac:dyDescent="0.2">
      <c r="A1" t="s">
        <v>91</v>
      </c>
      <c r="I1" s="17" t="s">
        <v>32</v>
      </c>
      <c r="J1" s="23">
        <f>J55</f>
        <v>94.20225210261404</v>
      </c>
      <c r="L1" s="10" t="s">
        <v>30</v>
      </c>
      <c r="M1" s="10"/>
    </row>
    <row r="2" spans="1:14" ht="6" customHeight="1" x14ac:dyDescent="0.2"/>
    <row r="3" spans="1:14" x14ac:dyDescent="0.2">
      <c r="A3" s="1" t="s">
        <v>144</v>
      </c>
      <c r="B3" s="1" t="s">
        <v>1</v>
      </c>
      <c r="C3" s="2" t="s">
        <v>2</v>
      </c>
      <c r="D3" s="2"/>
      <c r="E3" s="2" t="s">
        <v>3</v>
      </c>
      <c r="F3" s="2" t="s">
        <v>0</v>
      </c>
      <c r="G3" s="2"/>
      <c r="H3" s="2" t="s">
        <v>68</v>
      </c>
      <c r="I3" s="2" t="s">
        <v>4</v>
      </c>
      <c r="J3" s="3" t="s">
        <v>16</v>
      </c>
      <c r="K3" s="2"/>
      <c r="L3" s="2" t="s">
        <v>5</v>
      </c>
      <c r="M3" s="2"/>
      <c r="N3" s="4"/>
    </row>
    <row r="4" spans="1:14" x14ac:dyDescent="0.2">
      <c r="A4" s="13"/>
      <c r="B4" s="13" t="s">
        <v>105</v>
      </c>
      <c r="C4">
        <v>1</v>
      </c>
      <c r="E4">
        <v>10</v>
      </c>
      <c r="F4" s="54" t="s">
        <v>15</v>
      </c>
      <c r="H4" s="6">
        <f>C4/E4</f>
        <v>0.1</v>
      </c>
      <c r="I4" s="7">
        <v>5.44</v>
      </c>
      <c r="J4" s="12">
        <f t="shared" ref="J4:J14" si="0">I4*H4</f>
        <v>0.54400000000000004</v>
      </c>
      <c r="K4" s="7"/>
      <c r="L4" t="str">
        <f>CONCATENATE($L$1,F4)</f>
        <v>http://www.mcmaster.com/#92240A932</v>
      </c>
    </row>
    <row r="5" spans="1:14" x14ac:dyDescent="0.2">
      <c r="A5" s="9"/>
      <c r="B5" s="9" t="s">
        <v>6</v>
      </c>
      <c r="C5" s="55" t="s">
        <v>159</v>
      </c>
      <c r="D5" s="55"/>
      <c r="E5" s="55" t="s">
        <v>7</v>
      </c>
      <c r="F5" s="60" t="s">
        <v>8</v>
      </c>
      <c r="G5" s="9"/>
      <c r="H5" s="21">
        <f>1/18</f>
        <v>5.5555555555555552E-2</v>
      </c>
      <c r="I5" s="22">
        <v>29.03</v>
      </c>
      <c r="J5" s="58">
        <f t="shared" si="0"/>
        <v>1.6127777777777776</v>
      </c>
      <c r="K5" s="22"/>
      <c r="L5" s="9" t="str">
        <f>CONCATENATE($L$1,F5)</f>
        <v>http://www.mcmaster.com/#8734K22</v>
      </c>
    </row>
    <row r="6" spans="1:14" x14ac:dyDescent="0.2">
      <c r="A6" s="9"/>
      <c r="B6" s="9" t="s">
        <v>13</v>
      </c>
      <c r="C6" s="9">
        <v>1.5</v>
      </c>
      <c r="D6" s="9" t="s">
        <v>11</v>
      </c>
      <c r="E6" s="9">
        <v>12</v>
      </c>
      <c r="F6" s="60" t="s">
        <v>14</v>
      </c>
      <c r="G6" s="9"/>
      <c r="H6" s="21">
        <f t="shared" ref="H6:H13" si="1">C6/E6</f>
        <v>0.125</v>
      </c>
      <c r="I6" s="22">
        <v>1.77</v>
      </c>
      <c r="J6" s="58">
        <f t="shared" si="0"/>
        <v>0.22125</v>
      </c>
      <c r="K6" s="22"/>
      <c r="L6" s="9" t="str">
        <f>CONCATENATE($L$1,F6)</f>
        <v>http://www.mcmaster.com/#5186T14</v>
      </c>
    </row>
    <row r="7" spans="1:14" x14ac:dyDescent="0.2">
      <c r="A7" s="9"/>
      <c r="B7" s="9" t="s">
        <v>171</v>
      </c>
      <c r="C7" s="55">
        <v>2.5</v>
      </c>
      <c r="D7" s="9"/>
      <c r="E7" s="9">
        <v>1</v>
      </c>
      <c r="F7" s="60" t="s">
        <v>74</v>
      </c>
      <c r="G7" s="9"/>
      <c r="H7" s="21">
        <f t="shared" si="1"/>
        <v>2.5</v>
      </c>
      <c r="I7" s="22">
        <v>2.77</v>
      </c>
      <c r="J7" s="58">
        <f t="shared" si="0"/>
        <v>6.9249999999999998</v>
      </c>
      <c r="K7" s="9"/>
      <c r="L7" s="9" t="s">
        <v>73</v>
      </c>
    </row>
    <row r="8" spans="1:14" x14ac:dyDescent="0.2">
      <c r="B8" s="9" t="s">
        <v>123</v>
      </c>
      <c r="C8" s="9">
        <v>4</v>
      </c>
      <c r="D8" s="9"/>
      <c r="E8" s="59">
        <v>100</v>
      </c>
      <c r="F8" s="60" t="s">
        <v>124</v>
      </c>
      <c r="G8" s="9"/>
      <c r="H8" s="21">
        <f t="shared" si="1"/>
        <v>0.04</v>
      </c>
      <c r="I8" s="62">
        <v>7.12</v>
      </c>
      <c r="J8" s="58">
        <f t="shared" si="0"/>
        <v>0.2848</v>
      </c>
      <c r="K8" s="58"/>
      <c r="L8" s="63" t="s">
        <v>125</v>
      </c>
    </row>
    <row r="9" spans="1:14" s="9" customFormat="1" x14ac:dyDescent="0.2">
      <c r="A9" s="61"/>
      <c r="B9" s="9" t="s">
        <v>108</v>
      </c>
      <c r="C9" s="9">
        <v>8</v>
      </c>
      <c r="E9" s="9">
        <v>100</v>
      </c>
      <c r="F9" s="45" t="s">
        <v>140</v>
      </c>
      <c r="G9" s="9">
        <v>10</v>
      </c>
      <c r="H9" s="21">
        <f t="shared" si="1"/>
        <v>0.08</v>
      </c>
      <c r="I9" s="62">
        <f>4.75+G9</f>
        <v>14.75</v>
      </c>
      <c r="J9" s="58">
        <f t="shared" si="0"/>
        <v>1.18</v>
      </c>
      <c r="L9" s="9" t="s">
        <v>141</v>
      </c>
      <c r="M9" s="47"/>
    </row>
    <row r="10" spans="1:14" s="9" customFormat="1" x14ac:dyDescent="0.2">
      <c r="A10" s="47"/>
      <c r="B10" s="9" t="s">
        <v>126</v>
      </c>
      <c r="C10" s="9">
        <v>1</v>
      </c>
      <c r="E10" s="64">
        <v>25</v>
      </c>
      <c r="F10" s="60" t="s">
        <v>127</v>
      </c>
      <c r="H10" s="21">
        <f t="shared" si="1"/>
        <v>0.04</v>
      </c>
      <c r="I10" s="62">
        <v>6.44</v>
      </c>
      <c r="J10" s="58">
        <f t="shared" si="0"/>
        <v>0.2576</v>
      </c>
      <c r="K10" s="65"/>
      <c r="L10" s="24" t="s">
        <v>128</v>
      </c>
      <c r="M10" s="47"/>
    </row>
    <row r="11" spans="1:14" s="9" customFormat="1" x14ac:dyDescent="0.2">
      <c r="A11" s="47"/>
      <c r="B11" s="9" t="s">
        <v>129</v>
      </c>
      <c r="C11" s="9">
        <v>1</v>
      </c>
      <c r="E11" s="64">
        <v>100</v>
      </c>
      <c r="F11" s="57" t="s">
        <v>130</v>
      </c>
      <c r="H11" s="21">
        <f t="shared" si="1"/>
        <v>0.01</v>
      </c>
      <c r="I11" s="65">
        <v>7.66</v>
      </c>
      <c r="J11" s="58">
        <f t="shared" si="0"/>
        <v>7.6600000000000001E-2</v>
      </c>
      <c r="K11" s="65"/>
      <c r="L11" s="9" t="s">
        <v>131</v>
      </c>
      <c r="M11" s="47"/>
    </row>
    <row r="12" spans="1:14" s="9" customFormat="1" x14ac:dyDescent="0.2">
      <c r="A12" s="47"/>
      <c r="B12" s="24" t="s">
        <v>117</v>
      </c>
      <c r="C12" s="9">
        <v>12</v>
      </c>
      <c r="E12" s="24">
        <v>100</v>
      </c>
      <c r="F12" s="57" t="s">
        <v>118</v>
      </c>
      <c r="H12" s="21">
        <f t="shared" si="1"/>
        <v>0.12</v>
      </c>
      <c r="I12" s="65">
        <v>5.59</v>
      </c>
      <c r="J12" s="58">
        <f t="shared" si="0"/>
        <v>0.67079999999999995</v>
      </c>
      <c r="L12" s="9" t="s">
        <v>119</v>
      </c>
      <c r="M12" s="47"/>
    </row>
    <row r="13" spans="1:14" s="9" customFormat="1" x14ac:dyDescent="0.2">
      <c r="A13" s="47"/>
      <c r="B13" s="9" t="s">
        <v>114</v>
      </c>
      <c r="C13" s="9">
        <v>10</v>
      </c>
      <c r="E13" s="9">
        <v>100</v>
      </c>
      <c r="F13" s="57" t="s">
        <v>115</v>
      </c>
      <c r="H13" s="21">
        <f t="shared" si="1"/>
        <v>0.1</v>
      </c>
      <c r="I13" s="65">
        <v>3.1</v>
      </c>
      <c r="J13" s="58">
        <f t="shared" si="0"/>
        <v>0.31000000000000005</v>
      </c>
      <c r="L13" s="9" t="s">
        <v>116</v>
      </c>
      <c r="M13" s="47"/>
    </row>
    <row r="14" spans="1:14" x14ac:dyDescent="0.2">
      <c r="A14" s="9"/>
      <c r="B14" s="9" t="s">
        <v>10</v>
      </c>
      <c r="C14" s="9">
        <v>4</v>
      </c>
      <c r="D14" s="9" t="s">
        <v>11</v>
      </c>
      <c r="E14" s="9">
        <f>4*12</f>
        <v>48</v>
      </c>
      <c r="F14" s="60" t="s">
        <v>12</v>
      </c>
      <c r="G14" s="9"/>
      <c r="H14" s="21">
        <f t="shared" ref="H14" si="2">C14/E14</f>
        <v>8.3333333333333329E-2</v>
      </c>
      <c r="I14" s="22">
        <v>1.82</v>
      </c>
      <c r="J14" s="58">
        <f t="shared" si="0"/>
        <v>0.15166666666666667</v>
      </c>
      <c r="K14" s="22"/>
      <c r="L14" s="9" t="str">
        <f t="shared" ref="L14" si="3">CONCATENATE($L$1,F14)</f>
        <v>http://www.mcmaster.com/#7856K133</v>
      </c>
    </row>
    <row r="15" spans="1:14" ht="5" customHeight="1" x14ac:dyDescent="0.2">
      <c r="A15" s="9"/>
      <c r="B15" s="9"/>
      <c r="C15" s="9"/>
      <c r="D15" s="9"/>
      <c r="E15" s="9"/>
      <c r="F15" s="45"/>
      <c r="G15" s="9"/>
      <c r="H15" s="21"/>
      <c r="I15" s="22"/>
      <c r="J15" s="58"/>
      <c r="K15" s="22"/>
      <c r="L15" s="9"/>
    </row>
    <row r="16" spans="1:14" x14ac:dyDescent="0.2">
      <c r="A16" s="49"/>
      <c r="B16" s="49" t="s">
        <v>183</v>
      </c>
      <c r="C16" s="49">
        <v>8</v>
      </c>
      <c r="D16" s="49" t="s">
        <v>11</v>
      </c>
      <c r="E16" s="49">
        <v>120</v>
      </c>
      <c r="F16" s="68"/>
      <c r="G16" s="49"/>
      <c r="H16" s="66">
        <f>C16/E16</f>
        <v>6.6666666666666666E-2</v>
      </c>
      <c r="I16" s="67">
        <v>27.7</v>
      </c>
      <c r="J16" s="58">
        <f>I16*H16</f>
        <v>1.8466666666666667</v>
      </c>
      <c r="K16" s="67"/>
      <c r="L16" s="49" t="s">
        <v>75</v>
      </c>
      <c r="M16" s="49"/>
    </row>
    <row r="17" spans="1:21" s="49" customFormat="1" x14ac:dyDescent="0.2">
      <c r="B17" s="49" t="s">
        <v>163</v>
      </c>
      <c r="C17" s="49">
        <v>1</v>
      </c>
      <c r="E17" s="49">
        <v>8</v>
      </c>
      <c r="H17" s="66">
        <f>C17/E17</f>
        <v>0.125</v>
      </c>
      <c r="I17" s="82">
        <v>5</v>
      </c>
      <c r="J17" s="58">
        <f>I17*H17</f>
        <v>0.625</v>
      </c>
      <c r="L17" s="49" t="s">
        <v>161</v>
      </c>
      <c r="N17" s="49" t="s">
        <v>162</v>
      </c>
      <c r="P17" s="49" t="s">
        <v>156</v>
      </c>
      <c r="T17" s="49" t="s">
        <v>157</v>
      </c>
      <c r="U17" s="49" t="s">
        <v>158</v>
      </c>
    </row>
    <row r="18" spans="1:21" x14ac:dyDescent="0.2">
      <c r="A18" s="9"/>
      <c r="B18" s="24" t="s">
        <v>88</v>
      </c>
      <c r="C18" s="55">
        <v>250</v>
      </c>
      <c r="D18" s="9" t="s">
        <v>172</v>
      </c>
      <c r="E18" s="49">
        <v>2053</v>
      </c>
      <c r="F18" s="45"/>
      <c r="G18" s="9"/>
      <c r="H18" s="21">
        <f>C18/E18</f>
        <v>0.12177301509985387</v>
      </c>
      <c r="I18" s="22">
        <v>10.99</v>
      </c>
      <c r="J18" s="58">
        <f>I18*H18</f>
        <v>1.3382854359473941</v>
      </c>
      <c r="K18" s="22"/>
      <c r="L18" s="91" t="s">
        <v>173</v>
      </c>
    </row>
    <row r="19" spans="1:21" ht="15" customHeight="1" x14ac:dyDescent="0.2">
      <c r="A19" s="85"/>
      <c r="B19" s="9" t="s">
        <v>182</v>
      </c>
      <c r="C19" s="9">
        <v>1</v>
      </c>
      <c r="D19" s="9"/>
      <c r="E19" s="57">
        <v>4</v>
      </c>
      <c r="F19" s="57"/>
      <c r="G19" s="9"/>
      <c r="H19" s="73">
        <f>C19/E19</f>
        <v>0.25</v>
      </c>
      <c r="I19" s="9">
        <v>19.989999999999998</v>
      </c>
      <c r="J19" s="58">
        <f>I19*H19</f>
        <v>4.9974999999999996</v>
      </c>
      <c r="K19" s="9"/>
      <c r="L19" s="9" t="s">
        <v>181</v>
      </c>
      <c r="M19" s="8"/>
    </row>
    <row r="20" spans="1:21" ht="15" customHeight="1" x14ac:dyDescent="0.2">
      <c r="A20" s="9"/>
      <c r="B20" s="9" t="s">
        <v>93</v>
      </c>
      <c r="C20" s="9">
        <v>1</v>
      </c>
      <c r="D20" s="9"/>
      <c r="E20" s="57">
        <v>1</v>
      </c>
      <c r="F20" s="9"/>
      <c r="G20" s="9"/>
      <c r="H20" s="57">
        <v>1</v>
      </c>
      <c r="I20" s="9">
        <v>7.99</v>
      </c>
      <c r="J20" s="58">
        <f>I20*H20</f>
        <v>7.99</v>
      </c>
      <c r="K20" s="9"/>
      <c r="L20" s="9" t="s">
        <v>180</v>
      </c>
      <c r="M20" s="8"/>
      <c r="N20" s="99"/>
      <c r="O20" s="49"/>
    </row>
    <row r="21" spans="1:21" ht="4" customHeight="1" x14ac:dyDescent="0.2">
      <c r="B21" s="26"/>
      <c r="C21" s="17"/>
      <c r="D21" s="25"/>
      <c r="E21" s="25"/>
      <c r="F21" s="25"/>
      <c r="H21" s="28"/>
      <c r="I21" s="29"/>
      <c r="J21" s="12"/>
      <c r="K21" s="7"/>
      <c r="L21" s="8"/>
      <c r="M21" s="8"/>
    </row>
    <row r="22" spans="1:21" x14ac:dyDescent="0.2">
      <c r="A22" s="9"/>
      <c r="B22" s="24" t="s">
        <v>138</v>
      </c>
      <c r="C22" s="55">
        <v>1</v>
      </c>
      <c r="D22" s="9"/>
      <c r="E22" s="9"/>
      <c r="F22" s="45"/>
      <c r="G22" s="9"/>
      <c r="H22" s="21"/>
      <c r="I22" s="22"/>
      <c r="J22" s="58">
        <v>15</v>
      </c>
      <c r="K22" s="9" t="s">
        <v>17</v>
      </c>
      <c r="M22" s="14" t="s">
        <v>145</v>
      </c>
      <c r="O22" s="8" t="s">
        <v>146</v>
      </c>
    </row>
    <row r="23" spans="1:21" ht="5" customHeight="1" x14ac:dyDescent="0.2">
      <c r="A23" s="9"/>
      <c r="B23" s="9"/>
      <c r="C23" s="55"/>
      <c r="D23" s="9"/>
      <c r="E23" s="9"/>
      <c r="F23" s="45"/>
      <c r="G23" s="9"/>
      <c r="H23" s="21"/>
      <c r="I23" s="22"/>
      <c r="J23" s="21"/>
      <c r="K23" s="22"/>
      <c r="L23" s="9"/>
    </row>
    <row r="24" spans="1:21" x14ac:dyDescent="0.2">
      <c r="A24" s="9"/>
      <c r="B24" s="9" t="s">
        <v>70</v>
      </c>
      <c r="C24" s="55">
        <v>1</v>
      </c>
      <c r="D24" s="9"/>
      <c r="E24" s="56">
        <v>100</v>
      </c>
      <c r="F24" s="57">
        <v>1116</v>
      </c>
      <c r="G24" s="18"/>
      <c r="H24" s="21">
        <f>C24/E24</f>
        <v>0.01</v>
      </c>
      <c r="I24" s="18">
        <f>0.6*E24</f>
        <v>60</v>
      </c>
      <c r="J24" s="58">
        <f>I24*H24</f>
        <v>0.6</v>
      </c>
      <c r="K24" s="9"/>
      <c r="L24" s="45" t="s">
        <v>89</v>
      </c>
      <c r="M24" s="45"/>
      <c r="U24" t="s">
        <v>67</v>
      </c>
    </row>
    <row r="25" spans="1:21" ht="4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21" x14ac:dyDescent="0.2">
      <c r="A26" s="9"/>
      <c r="B26" s="49" t="s">
        <v>166</v>
      </c>
      <c r="C26" s="64">
        <v>1</v>
      </c>
      <c r="D26" s="49" t="s">
        <v>9</v>
      </c>
      <c r="E26" s="49">
        <v>3</v>
      </c>
      <c r="F26" s="49" t="s">
        <v>164</v>
      </c>
      <c r="G26" s="49"/>
      <c r="H26" s="66">
        <f>C26/E26</f>
        <v>0.33333333333333331</v>
      </c>
      <c r="I26" s="82">
        <v>3</v>
      </c>
      <c r="J26" s="58">
        <f>I26*H26</f>
        <v>1</v>
      </c>
      <c r="K26" s="49"/>
      <c r="L26" s="49" t="s">
        <v>165</v>
      </c>
      <c r="M26" s="45"/>
    </row>
    <row r="27" spans="1:21" ht="4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21" ht="15" customHeight="1" x14ac:dyDescent="0.2">
      <c r="A28" s="9"/>
      <c r="B28" s="9" t="s">
        <v>120</v>
      </c>
      <c r="C28" s="9">
        <v>1</v>
      </c>
      <c r="D28" s="9"/>
      <c r="E28" s="57">
        <v>100</v>
      </c>
      <c r="F28" s="55" t="s">
        <v>121</v>
      </c>
      <c r="G28" s="65">
        <v>0.26</v>
      </c>
      <c r="H28" s="73">
        <f>C28/E28</f>
        <v>0.01</v>
      </c>
      <c r="I28" s="65">
        <f>100*0.197</f>
        <v>19.7</v>
      </c>
      <c r="J28" s="58">
        <f>I28*H28</f>
        <v>0.19700000000000001</v>
      </c>
      <c r="K28" s="9"/>
      <c r="L28" s="9" t="s">
        <v>122</v>
      </c>
      <c r="M28" s="8"/>
    </row>
    <row r="29" spans="1:21" ht="4" customHeight="1" x14ac:dyDescent="0.2">
      <c r="A29" s="9"/>
      <c r="B29" s="24"/>
      <c r="C29" s="55"/>
      <c r="D29" s="44"/>
      <c r="E29" s="44"/>
      <c r="F29" s="44"/>
      <c r="G29" s="9"/>
      <c r="H29" s="73"/>
      <c r="I29" s="74"/>
      <c r="J29" s="58"/>
      <c r="K29" s="22"/>
      <c r="L29" s="45"/>
      <c r="M29" s="8"/>
    </row>
    <row r="30" spans="1:21" x14ac:dyDescent="0.2">
      <c r="A30" s="9"/>
      <c r="B30" t="s">
        <v>150</v>
      </c>
      <c r="C30">
        <v>216452</v>
      </c>
      <c r="D30">
        <v>1</v>
      </c>
      <c r="E30" s="20">
        <f>D39</f>
        <v>0</v>
      </c>
      <c r="F30" s="7">
        <v>0.32</v>
      </c>
      <c r="G30" s="7">
        <f t="shared" ref="G30" si="4">F30*E30</f>
        <v>0</v>
      </c>
      <c r="I30">
        <v>1</v>
      </c>
      <c r="J30" s="86">
        <v>0.35</v>
      </c>
      <c r="L30" t="s">
        <v>151</v>
      </c>
      <c r="M30" s="45"/>
    </row>
    <row r="31" spans="1:21" ht="4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21" x14ac:dyDescent="0.2">
      <c r="A32" s="9"/>
      <c r="B32" s="9" t="s">
        <v>20</v>
      </c>
      <c r="C32" s="55">
        <v>1</v>
      </c>
      <c r="D32" s="9"/>
      <c r="E32" s="56">
        <v>100</v>
      </c>
      <c r="F32" s="57" t="s">
        <v>21</v>
      </c>
      <c r="G32" s="18">
        <v>9.4399999999999998E-2</v>
      </c>
      <c r="H32" s="21">
        <f t="shared" ref="H32:H40" si="5">C32/E32</f>
        <v>0.01</v>
      </c>
      <c r="I32" s="18">
        <f t="shared" ref="I32" si="6">E32*G32</f>
        <v>9.44</v>
      </c>
      <c r="J32" s="58">
        <f t="shared" ref="J32:J40" si="7">I32*H32</f>
        <v>9.4399999999999998E-2</v>
      </c>
      <c r="K32" s="9"/>
      <c r="L32" s="45" t="s">
        <v>22</v>
      </c>
      <c r="M32" s="8"/>
    </row>
    <row r="33" spans="1:21" x14ac:dyDescent="0.2">
      <c r="A33" s="9"/>
      <c r="B33" s="9" t="s">
        <v>18</v>
      </c>
      <c r="C33" s="55">
        <v>1</v>
      </c>
      <c r="D33" s="9"/>
      <c r="E33" s="56">
        <v>10</v>
      </c>
      <c r="F33" s="57" t="s">
        <v>19</v>
      </c>
      <c r="G33" s="18">
        <v>0.4</v>
      </c>
      <c r="H33" s="21">
        <f>C33/E33</f>
        <v>0.1</v>
      </c>
      <c r="I33" s="18">
        <f>E33*G33</f>
        <v>4</v>
      </c>
      <c r="J33" s="58">
        <f>I33*H33</f>
        <v>0.4</v>
      </c>
      <c r="K33" s="9"/>
      <c r="L33" s="8" t="s">
        <v>186</v>
      </c>
      <c r="M33" s="8"/>
    </row>
    <row r="34" spans="1:21" x14ac:dyDescent="0.2">
      <c r="A34" s="9"/>
      <c r="B34" t="s">
        <v>184</v>
      </c>
      <c r="C34">
        <v>1</v>
      </c>
      <c r="E34">
        <v>100</v>
      </c>
      <c r="F34" s="41" t="s">
        <v>104</v>
      </c>
      <c r="G34">
        <v>0.19239999999999999</v>
      </c>
      <c r="H34" s="6">
        <f t="shared" ref="H34" si="8">C34/E34</f>
        <v>0.01</v>
      </c>
      <c r="I34" s="15">
        <f t="shared" ref="I34" si="9">E34*G34</f>
        <v>19.239999999999998</v>
      </c>
      <c r="J34" s="12">
        <f t="shared" ref="J34" si="10">I34*H34</f>
        <v>0.19239999999999999</v>
      </c>
      <c r="L34" t="s">
        <v>103</v>
      </c>
      <c r="M34" s="8"/>
    </row>
    <row r="35" spans="1:21" x14ac:dyDescent="0.2">
      <c r="A35" s="9"/>
      <c r="B35" s="9" t="s">
        <v>102</v>
      </c>
      <c r="C35" s="9">
        <v>1</v>
      </c>
      <c r="D35" s="9"/>
      <c r="E35" s="57">
        <v>50</v>
      </c>
      <c r="F35" s="59" t="s">
        <v>134</v>
      </c>
      <c r="G35" s="9">
        <v>1.478</v>
      </c>
      <c r="H35" s="21">
        <f t="shared" ref="H35" si="11">C35/E35</f>
        <v>0.02</v>
      </c>
      <c r="I35" s="18">
        <f t="shared" ref="I35" si="12">E35*G35</f>
        <v>73.900000000000006</v>
      </c>
      <c r="J35" s="58">
        <v>1.5</v>
      </c>
      <c r="K35" s="9"/>
      <c r="L35" s="9" t="s">
        <v>101</v>
      </c>
      <c r="M35" s="8"/>
    </row>
    <row r="36" spans="1:21" ht="5" customHeight="1" x14ac:dyDescent="0.2">
      <c r="A36" s="9"/>
      <c r="B36" s="9"/>
      <c r="C36" s="55"/>
      <c r="D36" s="9"/>
      <c r="E36" s="9"/>
      <c r="F36" s="45"/>
      <c r="G36" s="9"/>
      <c r="H36" s="21"/>
      <c r="I36" s="22"/>
      <c r="J36" s="58"/>
      <c r="K36" s="22"/>
      <c r="L36" s="69" t="s">
        <v>29</v>
      </c>
      <c r="M36" s="20"/>
    </row>
    <row r="37" spans="1:21" x14ac:dyDescent="0.2">
      <c r="A37" s="9"/>
      <c r="B37" s="9" t="s">
        <v>26</v>
      </c>
      <c r="C37" s="55">
        <v>1</v>
      </c>
      <c r="D37" s="70"/>
      <c r="E37" s="56">
        <v>100</v>
      </c>
      <c r="F37" s="57">
        <v>9716</v>
      </c>
      <c r="G37" s="9"/>
      <c r="H37" s="21">
        <f t="shared" si="5"/>
        <v>0.01</v>
      </c>
      <c r="I37" s="18">
        <f>11.96*E37</f>
        <v>1196</v>
      </c>
      <c r="J37" s="58">
        <f t="shared" si="7"/>
        <v>11.96</v>
      </c>
      <c r="K37" s="22"/>
      <c r="L37" s="9" t="str">
        <f>CONCATENATE($L$36,F37)</f>
        <v>https://www.sparkfun.com/products/9716</v>
      </c>
      <c r="Q37" t="s">
        <v>31</v>
      </c>
      <c r="U37">
        <v>5</v>
      </c>
    </row>
    <row r="38" spans="1:21" x14ac:dyDescent="0.2">
      <c r="A38" s="9"/>
      <c r="B38" s="9" t="s">
        <v>27</v>
      </c>
      <c r="C38" s="55">
        <v>1</v>
      </c>
      <c r="D38" s="70"/>
      <c r="E38" s="56">
        <v>100</v>
      </c>
      <c r="F38" s="71">
        <v>11113</v>
      </c>
      <c r="G38" s="9"/>
      <c r="H38" s="21">
        <f t="shared" si="5"/>
        <v>0.01</v>
      </c>
      <c r="I38" s="22">
        <f>7.96*E38</f>
        <v>796</v>
      </c>
      <c r="J38" s="58">
        <f t="shared" si="7"/>
        <v>7.96</v>
      </c>
      <c r="K38" s="22"/>
      <c r="L38" s="9" t="str">
        <f>CONCATENATE($L$36,F38)</f>
        <v>https://www.sparkfun.com/products/11113</v>
      </c>
    </row>
    <row r="39" spans="1:21" x14ac:dyDescent="0.2">
      <c r="A39" s="9"/>
      <c r="B39" s="9" t="s">
        <v>28</v>
      </c>
      <c r="C39" s="55">
        <v>1</v>
      </c>
      <c r="D39" s="70"/>
      <c r="E39" s="56">
        <v>100</v>
      </c>
      <c r="F39" s="71">
        <v>10189</v>
      </c>
      <c r="G39" s="9"/>
      <c r="H39" s="21">
        <f t="shared" si="5"/>
        <v>0.01</v>
      </c>
      <c r="I39" s="18">
        <f>9.56*E39</f>
        <v>956</v>
      </c>
      <c r="J39" s="58">
        <f t="shared" si="7"/>
        <v>9.56</v>
      </c>
      <c r="K39" s="22"/>
      <c r="L39" s="9" t="str">
        <f>CONCATENATE($L$36,F39)</f>
        <v>https://www.sparkfun.com/products/10189</v>
      </c>
    </row>
    <row r="40" spans="1:21" x14ac:dyDescent="0.2">
      <c r="A40" s="9"/>
      <c r="B40" s="24" t="s">
        <v>50</v>
      </c>
      <c r="C40" s="9">
        <v>2</v>
      </c>
      <c r="D40" s="70"/>
      <c r="E40" s="56">
        <v>100</v>
      </c>
      <c r="F40" s="44">
        <v>9429</v>
      </c>
      <c r="G40" s="9"/>
      <c r="H40" s="21">
        <f t="shared" si="5"/>
        <v>0.02</v>
      </c>
      <c r="I40" s="18">
        <f>0.76*E40</f>
        <v>76</v>
      </c>
      <c r="J40" s="58">
        <f t="shared" si="7"/>
        <v>1.52</v>
      </c>
      <c r="K40" s="22"/>
      <c r="L40" s="9" t="str">
        <f t="shared" ref="L40" si="13">CONCATENATE($L$36,F40)</f>
        <v>https://www.sparkfun.com/products/9429</v>
      </c>
      <c r="Q40" t="s">
        <v>52</v>
      </c>
      <c r="U40">
        <v>0.5</v>
      </c>
    </row>
    <row r="41" spans="1:21" x14ac:dyDescent="0.2">
      <c r="A41" s="9"/>
      <c r="B41" s="9" t="s">
        <v>51</v>
      </c>
      <c r="C41" s="9">
        <v>0.5</v>
      </c>
      <c r="D41" s="70"/>
      <c r="E41" s="56">
        <v>100</v>
      </c>
      <c r="F41" s="71">
        <v>553</v>
      </c>
      <c r="G41" s="9"/>
      <c r="H41" s="21">
        <f>C41/E41</f>
        <v>5.0000000000000001E-3</v>
      </c>
      <c r="I41" s="18">
        <f>1.76*E41</f>
        <v>176</v>
      </c>
      <c r="J41" s="58">
        <f>I41*H41</f>
        <v>0.88</v>
      </c>
      <c r="K41" s="22"/>
      <c r="L41" s="9" t="str">
        <f>CONCATENATE($L$36,F41)</f>
        <v>https://www.sparkfun.com/products/553</v>
      </c>
      <c r="Q41" t="s">
        <v>52</v>
      </c>
      <c r="U41">
        <v>0.5</v>
      </c>
    </row>
    <row r="42" spans="1:21" x14ac:dyDescent="0.2">
      <c r="A42" s="9"/>
      <c r="B42" s="9" t="s">
        <v>109</v>
      </c>
      <c r="C42" s="9">
        <v>8</v>
      </c>
      <c r="D42" s="9"/>
      <c r="E42" s="57">
        <v>300</v>
      </c>
      <c r="F42" s="57">
        <v>743</v>
      </c>
      <c r="G42" s="9"/>
      <c r="H42" s="21">
        <f>C42/E42</f>
        <v>2.6666666666666668E-2</v>
      </c>
      <c r="I42" s="65">
        <f>3.56*10</f>
        <v>35.6</v>
      </c>
      <c r="J42" s="58">
        <f>I42*H42</f>
        <v>0.94933333333333347</v>
      </c>
      <c r="K42" s="9"/>
      <c r="L42" s="9" t="s">
        <v>112</v>
      </c>
    </row>
    <row r="43" spans="1:21" ht="5" customHeight="1" x14ac:dyDescent="0.2">
      <c r="A43" s="9"/>
      <c r="B43" s="9"/>
      <c r="C43" s="9"/>
      <c r="D43" s="70"/>
      <c r="E43" s="21"/>
      <c r="F43" s="21"/>
      <c r="G43" s="71"/>
      <c r="H43" s="57"/>
      <c r="I43" s="21"/>
      <c r="J43" s="58"/>
      <c r="K43" s="22"/>
      <c r="L43" s="9"/>
    </row>
    <row r="44" spans="1:21" x14ac:dyDescent="0.2">
      <c r="A44" s="9"/>
      <c r="B44" s="9" t="s">
        <v>110</v>
      </c>
      <c r="C44" s="9">
        <v>1</v>
      </c>
      <c r="D44" s="9">
        <v>50</v>
      </c>
      <c r="E44" s="57">
        <v>50</v>
      </c>
      <c r="F44" s="57">
        <v>157</v>
      </c>
      <c r="G44" s="9"/>
      <c r="H44" s="21">
        <f>C44/E44</f>
        <v>0.02</v>
      </c>
      <c r="I44" s="65">
        <f>1.46*50</f>
        <v>73</v>
      </c>
      <c r="J44" s="58">
        <f>I44*H44</f>
        <v>1.46</v>
      </c>
      <c r="K44" s="9"/>
      <c r="L44" s="9" t="s">
        <v>113</v>
      </c>
    </row>
    <row r="45" spans="1:21" x14ac:dyDescent="0.2">
      <c r="A45" s="9"/>
      <c r="B45" s="9" t="s">
        <v>147</v>
      </c>
      <c r="C45" s="9">
        <v>1</v>
      </c>
      <c r="D45" s="9">
        <v>10</v>
      </c>
      <c r="E45" s="57">
        <v>1</v>
      </c>
      <c r="F45" s="57">
        <v>389</v>
      </c>
      <c r="G45" s="9"/>
      <c r="H45" s="21">
        <f>C45/E45</f>
        <v>1</v>
      </c>
      <c r="I45" s="65">
        <v>4.46</v>
      </c>
      <c r="J45" s="58">
        <f>I45*H45</f>
        <v>4.46</v>
      </c>
      <c r="K45" s="9"/>
      <c r="L45" s="9" t="s">
        <v>148</v>
      </c>
    </row>
    <row r="46" spans="1:21" x14ac:dyDescent="0.2">
      <c r="A46" s="9"/>
      <c r="B46" s="24" t="s">
        <v>37</v>
      </c>
      <c r="C46" s="55">
        <v>1</v>
      </c>
      <c r="D46" s="44"/>
      <c r="E46" s="44">
        <v>20</v>
      </c>
      <c r="F46" s="44">
        <v>302</v>
      </c>
      <c r="G46" s="9"/>
      <c r="H46" s="73">
        <f>C46/E46</f>
        <v>0.05</v>
      </c>
      <c r="I46" s="65">
        <v>16</v>
      </c>
      <c r="J46" s="58">
        <f>I46*H46</f>
        <v>0.8</v>
      </c>
      <c r="K46" s="22"/>
      <c r="L46" s="45" t="s">
        <v>38</v>
      </c>
    </row>
    <row r="47" spans="1:21" ht="5" customHeight="1" x14ac:dyDescent="0.2">
      <c r="A47" s="9"/>
      <c r="M47" s="8"/>
    </row>
    <row r="48" spans="1:21" x14ac:dyDescent="0.2">
      <c r="A48" s="76" t="s">
        <v>178</v>
      </c>
      <c r="B48" s="24" t="s">
        <v>143</v>
      </c>
      <c r="C48" s="72">
        <v>1</v>
      </c>
      <c r="D48" s="9"/>
      <c r="E48" s="44">
        <v>3</v>
      </c>
      <c r="F48" s="44" t="s">
        <v>142</v>
      </c>
      <c r="G48" s="9"/>
      <c r="H48" s="73">
        <f>C48/E48</f>
        <v>0.33333333333333331</v>
      </c>
      <c r="I48" s="75">
        <v>7.95</v>
      </c>
      <c r="J48" s="58">
        <f>I48*H48</f>
        <v>2.65</v>
      </c>
      <c r="K48" s="22"/>
      <c r="L48" s="45" t="s">
        <v>185</v>
      </c>
      <c r="M48" s="8"/>
    </row>
    <row r="49" spans="1:21" ht="4" customHeight="1" x14ac:dyDescent="0.2">
      <c r="A49" s="9"/>
      <c r="B49" s="24"/>
      <c r="C49" s="55"/>
      <c r="D49" s="44"/>
      <c r="E49" s="44"/>
      <c r="F49" s="44"/>
      <c r="G49" s="9"/>
      <c r="H49" s="73"/>
      <c r="I49" s="74"/>
      <c r="J49" s="58"/>
      <c r="K49" s="22"/>
      <c r="L49" s="45"/>
      <c r="M49" s="8"/>
    </row>
    <row r="50" spans="1:21" x14ac:dyDescent="0.2">
      <c r="A50" s="9"/>
      <c r="B50" t="s">
        <v>33</v>
      </c>
      <c r="C50" s="17">
        <v>1</v>
      </c>
      <c r="E50" s="16">
        <v>1</v>
      </c>
      <c r="F50" s="54" t="s">
        <v>34</v>
      </c>
      <c r="H50" s="16">
        <v>1</v>
      </c>
      <c r="I50" s="7">
        <v>6.5</v>
      </c>
      <c r="J50" s="12"/>
      <c r="K50" s="7" t="s">
        <v>90</v>
      </c>
      <c r="O50" t="s">
        <v>71</v>
      </c>
    </row>
    <row r="51" spans="1:21" x14ac:dyDescent="0.2">
      <c r="A51" s="9"/>
      <c r="C51" s="17"/>
      <c r="E51" s="16"/>
      <c r="F51" s="54"/>
      <c r="H51" s="16"/>
      <c r="I51" s="7">
        <v>11.99</v>
      </c>
      <c r="J51" s="12">
        <f>I51</f>
        <v>11.99</v>
      </c>
      <c r="K51" s="7"/>
      <c r="L51" t="s">
        <v>160</v>
      </c>
      <c r="O51" s="48" t="s">
        <v>132</v>
      </c>
    </row>
    <row r="52" spans="1:21" ht="4" customHeight="1" x14ac:dyDescent="0.2">
      <c r="C52" s="17"/>
      <c r="F52" s="54"/>
      <c r="H52" s="6"/>
      <c r="I52" s="7"/>
      <c r="J52" s="12"/>
      <c r="K52" s="7"/>
    </row>
    <row r="53" spans="1:21" x14ac:dyDescent="0.2">
      <c r="B53" t="s">
        <v>40</v>
      </c>
      <c r="C53" s="17">
        <v>1</v>
      </c>
      <c r="E53" s="16">
        <v>1</v>
      </c>
      <c r="F53" s="14" t="s">
        <v>39</v>
      </c>
      <c r="H53" s="14">
        <v>1</v>
      </c>
      <c r="I53" s="7">
        <v>4.29</v>
      </c>
      <c r="J53" s="12">
        <v>3.73</v>
      </c>
      <c r="L53" s="8" t="s">
        <v>41</v>
      </c>
      <c r="M53" s="8"/>
      <c r="Q53" t="s">
        <v>42</v>
      </c>
      <c r="U53">
        <v>3</v>
      </c>
    </row>
    <row r="54" spans="1:21" ht="6" customHeight="1" x14ac:dyDescent="0.2"/>
    <row r="55" spans="1:21" x14ac:dyDescent="0.2">
      <c r="B55" s="24"/>
      <c r="C55" s="17"/>
      <c r="F55" s="8"/>
      <c r="H55" s="6"/>
      <c r="I55" s="7"/>
      <c r="J55" s="31">
        <f>SUM(J14:J54)</f>
        <v>94.20225210261404</v>
      </c>
      <c r="K55" s="84" t="s">
        <v>43</v>
      </c>
      <c r="L55" s="32"/>
      <c r="M55" s="83" t="s">
        <v>187</v>
      </c>
      <c r="N55" s="100"/>
      <c r="O55" s="100"/>
      <c r="P55" s="100"/>
      <c r="U55" s="7">
        <f>J55-SUM(U4:U54)</f>
        <v>85.20225210261404</v>
      </c>
    </row>
    <row r="56" spans="1:21" x14ac:dyDescent="0.2">
      <c r="B56" s="24"/>
      <c r="C56" s="17"/>
      <c r="F56" s="8"/>
      <c r="H56" s="6"/>
      <c r="I56" s="39"/>
      <c r="J56" s="40"/>
      <c r="K56" s="7"/>
    </row>
    <row r="57" spans="1:21" x14ac:dyDescent="0.2">
      <c r="A57" s="5" t="s">
        <v>170</v>
      </c>
    </row>
    <row r="58" spans="1:21" x14ac:dyDescent="0.2">
      <c r="B58" s="20" t="s">
        <v>139</v>
      </c>
      <c r="C58" s="20"/>
      <c r="D58" s="20"/>
      <c r="E58" s="20"/>
      <c r="F58" s="87"/>
      <c r="G58" s="20"/>
      <c r="H58" s="88"/>
      <c r="I58" s="89"/>
      <c r="J58" s="90"/>
      <c r="K58" s="89"/>
      <c r="L58" s="20"/>
    </row>
    <row r="59" spans="1:21" x14ac:dyDescent="0.2">
      <c r="B59" s="20" t="s">
        <v>72</v>
      </c>
      <c r="C59" s="20"/>
      <c r="D59" s="20"/>
      <c r="E59" s="20"/>
      <c r="F59" s="87"/>
      <c r="G59" s="20"/>
      <c r="H59" s="88"/>
      <c r="I59" s="89"/>
      <c r="J59" s="90"/>
      <c r="K59" s="89"/>
      <c r="L59" s="20"/>
    </row>
    <row r="60" spans="1:21" x14ac:dyDescent="0.2">
      <c r="B60" s="24" t="s">
        <v>111</v>
      </c>
      <c r="C60" s="24"/>
      <c r="D60" s="24"/>
      <c r="E60" s="24"/>
      <c r="F60" s="24"/>
      <c r="G60" s="24"/>
      <c r="H60" s="24"/>
      <c r="I60" s="24"/>
      <c r="J60" s="58"/>
      <c r="K60" s="22"/>
      <c r="L60" s="9"/>
    </row>
    <row r="61" spans="1:21" x14ac:dyDescent="0.2">
      <c r="B61" t="s">
        <v>168</v>
      </c>
      <c r="L61" t="s">
        <v>155</v>
      </c>
    </row>
    <row r="62" spans="1:21" x14ac:dyDescent="0.2">
      <c r="B62" t="s">
        <v>152</v>
      </c>
      <c r="L62" t="s">
        <v>153</v>
      </c>
    </row>
    <row r="63" spans="1:21" x14ac:dyDescent="0.2">
      <c r="B63" t="s">
        <v>169</v>
      </c>
    </row>
    <row r="64" spans="1:21" x14ac:dyDescent="0.2">
      <c r="A64" s="93"/>
      <c r="B64" s="94" t="s">
        <v>174</v>
      </c>
      <c r="C64" s="95"/>
      <c r="D64" s="95"/>
      <c r="E64" s="95"/>
      <c r="F64" s="95"/>
      <c r="G64" s="96"/>
      <c r="H64" s="97"/>
      <c r="L64" s="92" t="s">
        <v>175</v>
      </c>
    </row>
    <row r="65" spans="1:12" x14ac:dyDescent="0.2">
      <c r="A65" s="93"/>
      <c r="B65" s="95" t="s">
        <v>176</v>
      </c>
      <c r="C65" s="95"/>
      <c r="D65" s="95"/>
      <c r="E65" s="95"/>
      <c r="F65" s="95"/>
      <c r="G65" s="96"/>
      <c r="H65" s="97"/>
      <c r="L65" s="98" t="s">
        <v>177</v>
      </c>
    </row>
    <row r="66" spans="1:12" x14ac:dyDescent="0.2">
      <c r="B66" t="s">
        <v>167</v>
      </c>
      <c r="C66" s="55">
        <v>1</v>
      </c>
      <c r="E66">
        <v>1</v>
      </c>
      <c r="F66">
        <f>D66/E66</f>
        <v>0</v>
      </c>
      <c r="H66" s="21">
        <f>C66/E66</f>
        <v>1</v>
      </c>
      <c r="I66">
        <v>0.79</v>
      </c>
      <c r="J66" s="58">
        <f>I66*H66</f>
        <v>0.79</v>
      </c>
      <c r="L66" t="s">
        <v>154</v>
      </c>
    </row>
    <row r="67" spans="1:12" x14ac:dyDescent="0.2">
      <c r="B67" s="17" t="s">
        <v>179</v>
      </c>
    </row>
  </sheetData>
  <phoneticPr fontId="9" type="noConversion"/>
  <hyperlinks>
    <hyperlink ref="F5" r:id="rId1" location="8734K22"/>
    <hyperlink ref="F6" r:id="rId2" location="5186T14" tooltip="Add this product to your current order"/>
    <hyperlink ref="F14" r:id="rId3" location="7856K133"/>
    <hyperlink ref="F4" r:id="rId4" location="92240A932"/>
    <hyperlink ref="L32" r:id="rId5"/>
    <hyperlink ref="L1" r:id="rId6"/>
    <hyperlink ref="L46" r:id="rId7"/>
    <hyperlink ref="L53" r:id="rId8"/>
    <hyperlink ref="F8" r:id="rId9" location="6705K31"/>
    <hyperlink ref="F10" r:id="rId10" location="92174A030"/>
    <hyperlink ref="F9" r:id="rId11" location="7130K56"/>
    <hyperlink ref="O22" r:id="rId12"/>
    <hyperlink ref="P17" r:id="rId13" display="http://www.autohausaz.com/search/product.aspx?partnumber=TG-1&amp;utm_source=google&amp;utm_medium=nonpaid&amp;utm_campaign=frooglePN&amp;utm_term=TG1&amp;crossref=TG1&amp;gclid=Cj0KEQjwmNuuBRDTu5rDjr2kxJsBEiQAWlm6UtvNGWLi4KjvvoILTW-scdZKxggCxYtRgMrBYopHGysaAnCa8P8HAQ"/>
    <hyperlink ref="L26" r:id="rId14" display="http://www.digikey.com/product-detail/en/3811%2F10%20300/MC010M-50-ND/3878630"/>
    <hyperlink ref="L18" r:id="rId15"/>
    <hyperlink ref="L33" r:id="rId16"/>
  </hyperlinks>
  <pageMargins left="0.4" right="0.4" top="0.4" bottom="0.4" header="0" footer="0"/>
  <pageSetup scale="52" fitToWidth="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1"/>
  <sheetViews>
    <sheetView workbookViewId="0">
      <selection activeCell="D49" sqref="D49"/>
    </sheetView>
  </sheetViews>
  <sheetFormatPr baseColWidth="10" defaultRowHeight="16" x14ac:dyDescent="0.2"/>
  <cols>
    <col min="2" max="2" width="24.5" customWidth="1"/>
  </cols>
  <sheetData>
    <row r="4" spans="1:21" x14ac:dyDescent="0.2">
      <c r="A4" t="s">
        <v>45</v>
      </c>
      <c r="E4" s="16"/>
      <c r="K4" s="7"/>
    </row>
    <row r="5" spans="1:21" ht="17" x14ac:dyDescent="0.2">
      <c r="B5" t="s">
        <v>47</v>
      </c>
      <c r="C5">
        <v>1</v>
      </c>
      <c r="E5" s="16">
        <v>1</v>
      </c>
      <c r="F5" s="8"/>
      <c r="H5" s="16">
        <v>1</v>
      </c>
      <c r="I5" s="7">
        <v>2.4900000000000002</v>
      </c>
      <c r="J5" s="12">
        <f>I5*H5</f>
        <v>2.4900000000000002</v>
      </c>
      <c r="K5" s="7"/>
      <c r="L5" s="33" t="s">
        <v>48</v>
      </c>
      <c r="M5" s="33"/>
      <c r="U5" t="s">
        <v>67</v>
      </c>
    </row>
    <row r="6" spans="1:21" x14ac:dyDescent="0.2">
      <c r="E6" s="16"/>
      <c r="F6" s="8"/>
      <c r="H6" s="6"/>
      <c r="I6" s="7"/>
      <c r="J6" s="12"/>
      <c r="K6" s="7"/>
    </row>
    <row r="7" spans="1:21" x14ac:dyDescent="0.2">
      <c r="B7" t="s">
        <v>27</v>
      </c>
      <c r="C7" s="17">
        <v>1</v>
      </c>
      <c r="D7" s="5"/>
      <c r="E7" s="16">
        <v>100</v>
      </c>
      <c r="F7" s="19">
        <v>11113</v>
      </c>
      <c r="H7" s="6">
        <f t="shared" ref="H7" si="0">C7/E7</f>
        <v>0.01</v>
      </c>
      <c r="I7" s="7">
        <f>7.96*E7</f>
        <v>796</v>
      </c>
      <c r="J7" s="12">
        <f t="shared" ref="J7" si="1">I7*H7</f>
        <v>7.96</v>
      </c>
      <c r="K7" s="7"/>
      <c r="L7" t="str">
        <f>CONCATENATE($L$37,F7)</f>
        <v>http://www.amazon.com/gp/product/104800001X/ref=oh_aui_detailpage_o03_s00?ie=UTF8&amp;psc=111113</v>
      </c>
      <c r="U7">
        <v>2</v>
      </c>
    </row>
    <row r="8" spans="1:21" x14ac:dyDescent="0.2">
      <c r="B8" t="s">
        <v>46</v>
      </c>
      <c r="C8">
        <v>1</v>
      </c>
      <c r="D8" s="5"/>
      <c r="E8" s="16">
        <v>1</v>
      </c>
      <c r="F8" s="19">
        <v>9530</v>
      </c>
      <c r="H8" s="14">
        <v>1</v>
      </c>
      <c r="I8" s="7">
        <v>19.96</v>
      </c>
      <c r="J8" s="12">
        <f>I8*H8</f>
        <v>19.96</v>
      </c>
      <c r="K8" s="7"/>
      <c r="L8" t="str">
        <f t="shared" ref="L8:L10" si="2">CONCATENATE($L$37,F8)</f>
        <v>http://www.amazon.com/gp/product/104800001X/ref=oh_aui_detailpage_o03_s00?ie=UTF8&amp;psc=19530</v>
      </c>
      <c r="U8">
        <v>15</v>
      </c>
    </row>
    <row r="9" spans="1:21" x14ac:dyDescent="0.2">
      <c r="B9" t="s">
        <v>49</v>
      </c>
      <c r="C9">
        <v>1</v>
      </c>
      <c r="D9" s="5"/>
      <c r="E9" s="16">
        <v>1</v>
      </c>
      <c r="F9" s="19">
        <v>9418</v>
      </c>
      <c r="H9" s="14">
        <v>1</v>
      </c>
      <c r="I9" s="7">
        <v>4.76</v>
      </c>
      <c r="J9" s="12">
        <f>I9</f>
        <v>4.76</v>
      </c>
      <c r="K9" s="7"/>
      <c r="L9" t="str">
        <f t="shared" si="2"/>
        <v>http://www.amazon.com/gp/product/104800001X/ref=oh_aui_detailpage_o03_s00?ie=UTF8&amp;psc=19418</v>
      </c>
      <c r="U9">
        <v>2</v>
      </c>
    </row>
    <row r="10" spans="1:21" x14ac:dyDescent="0.2">
      <c r="B10" s="26" t="s">
        <v>50</v>
      </c>
      <c r="C10">
        <v>1</v>
      </c>
      <c r="D10" s="5"/>
      <c r="E10" s="16">
        <v>1</v>
      </c>
      <c r="F10" s="25">
        <v>9429</v>
      </c>
      <c r="H10" s="14">
        <v>1</v>
      </c>
      <c r="I10" s="18">
        <v>0.76</v>
      </c>
      <c r="J10" s="12">
        <f t="shared" ref="J10:J14" si="3">I10*H10</f>
        <v>0.76</v>
      </c>
      <c r="K10" s="7"/>
      <c r="L10" t="str">
        <f t="shared" si="2"/>
        <v>http://www.amazon.com/gp/product/104800001X/ref=oh_aui_detailpage_o03_s00?ie=UTF8&amp;psc=19429</v>
      </c>
      <c r="U10">
        <v>0.5</v>
      </c>
    </row>
    <row r="11" spans="1:21" x14ac:dyDescent="0.2">
      <c r="F11" s="8"/>
      <c r="H11" s="6"/>
      <c r="I11" s="7"/>
      <c r="J11" s="12"/>
      <c r="K11" s="7"/>
    </row>
    <row r="12" spans="1:21" x14ac:dyDescent="0.2">
      <c r="A12" s="52" t="s">
        <v>106</v>
      </c>
      <c r="B12" s="52" t="s">
        <v>98</v>
      </c>
      <c r="C12" s="52">
        <v>1</v>
      </c>
      <c r="D12" s="52"/>
      <c r="E12" s="52" t="s">
        <v>100</v>
      </c>
      <c r="F12" s="52" t="s">
        <v>99</v>
      </c>
      <c r="G12" s="52"/>
      <c r="H12" s="52"/>
      <c r="I12" s="52">
        <v>10.72</v>
      </c>
      <c r="J12" s="53">
        <v>8.6174999999999997</v>
      </c>
      <c r="K12" s="52"/>
      <c r="L12" s="52" t="s">
        <v>97</v>
      </c>
      <c r="M12" s="37"/>
      <c r="S12" s="35" t="s">
        <v>58</v>
      </c>
    </row>
    <row r="13" spans="1:21" x14ac:dyDescent="0.2">
      <c r="B13" s="35" t="s">
        <v>60</v>
      </c>
      <c r="C13" s="38">
        <v>1</v>
      </c>
      <c r="D13" s="36"/>
      <c r="E13" s="16">
        <v>1</v>
      </c>
      <c r="F13" s="14" t="s">
        <v>61</v>
      </c>
      <c r="G13" s="15">
        <v>0.10004</v>
      </c>
      <c r="H13" s="36">
        <v>1</v>
      </c>
      <c r="I13" s="15">
        <v>0.10004</v>
      </c>
      <c r="J13" s="12">
        <f t="shared" si="3"/>
        <v>0.10004</v>
      </c>
      <c r="L13" s="37" t="s">
        <v>62</v>
      </c>
      <c r="M13" s="37"/>
    </row>
    <row r="14" spans="1:21" x14ac:dyDescent="0.2">
      <c r="B14" s="35" t="s">
        <v>63</v>
      </c>
      <c r="C14" s="38">
        <v>1</v>
      </c>
      <c r="D14" s="36"/>
      <c r="E14" s="16">
        <v>1</v>
      </c>
      <c r="F14" s="14" t="s">
        <v>64</v>
      </c>
      <c r="G14" s="15">
        <v>2.0160000000000001E-2</v>
      </c>
      <c r="H14" s="36">
        <v>1</v>
      </c>
      <c r="I14" s="15">
        <v>2.0160000000000001E-2</v>
      </c>
      <c r="J14" s="12">
        <f t="shared" si="3"/>
        <v>2.0160000000000001E-2</v>
      </c>
      <c r="L14" s="37" t="s">
        <v>65</v>
      </c>
      <c r="M14" s="37"/>
    </row>
    <row r="15" spans="1:21" x14ac:dyDescent="0.2">
      <c r="B15" s="24" t="s">
        <v>85</v>
      </c>
      <c r="C15">
        <v>0.5</v>
      </c>
      <c r="D15" t="s">
        <v>9</v>
      </c>
      <c r="E15" s="14">
        <v>50</v>
      </c>
      <c r="F15" s="41" t="s">
        <v>82</v>
      </c>
      <c r="H15" s="6">
        <f>C15/E15</f>
        <v>0.01</v>
      </c>
      <c r="I15" s="42">
        <v>23.59</v>
      </c>
      <c r="J15" s="12">
        <f>I15*H15</f>
        <v>0.2359</v>
      </c>
      <c r="L15" t="s">
        <v>83</v>
      </c>
    </row>
    <row r="16" spans="1:21" x14ac:dyDescent="0.2">
      <c r="A16" t="s">
        <v>149</v>
      </c>
      <c r="B16" s="46" t="s">
        <v>78</v>
      </c>
      <c r="C16" s="46">
        <v>1</v>
      </c>
      <c r="D16" s="46" t="s">
        <v>9</v>
      </c>
      <c r="E16" s="77">
        <v>98</v>
      </c>
      <c r="F16" s="78" t="s">
        <v>79</v>
      </c>
      <c r="G16" s="46"/>
      <c r="H16" s="79">
        <f>C16/E16</f>
        <v>1.020408163265306E-2</v>
      </c>
      <c r="I16" s="80">
        <v>48.68</v>
      </c>
      <c r="J16" s="81">
        <f>I16*H16</f>
        <v>0.49673469387755098</v>
      </c>
      <c r="K16" s="46"/>
      <c r="L16" s="46" t="s">
        <v>80</v>
      </c>
      <c r="M16" s="46"/>
      <c r="N16" s="46"/>
    </row>
    <row r="17" spans="2:21" x14ac:dyDescent="0.2">
      <c r="B17" t="s">
        <v>23</v>
      </c>
      <c r="C17" s="17">
        <v>1</v>
      </c>
      <c r="E17" s="16">
        <v>140</v>
      </c>
      <c r="F17" s="14" t="s">
        <v>24</v>
      </c>
      <c r="G17" s="15">
        <v>1.41</v>
      </c>
      <c r="H17" s="6">
        <f>C17/E17</f>
        <v>7.1428571428571426E-3</v>
      </c>
      <c r="I17" s="18">
        <f t="shared" ref="I17" si="4">E17*G17</f>
        <v>197.39999999999998</v>
      </c>
      <c r="J17" s="12">
        <f>I17*H17</f>
        <v>1.4099999999999997</v>
      </c>
      <c r="L17" s="8" t="s">
        <v>25</v>
      </c>
      <c r="M17" s="8"/>
    </row>
    <row r="18" spans="2:21" x14ac:dyDescent="0.2">
      <c r="C18" s="17"/>
      <c r="F18" s="8"/>
      <c r="H18" s="6"/>
      <c r="I18" s="7"/>
      <c r="J18" s="6"/>
      <c r="K18" s="7"/>
    </row>
    <row r="19" spans="2:21" x14ac:dyDescent="0.2">
      <c r="B19" s="26" t="s">
        <v>107</v>
      </c>
      <c r="C19" s="30">
        <v>1</v>
      </c>
      <c r="D19" s="25"/>
      <c r="E19" s="16">
        <v>1</v>
      </c>
      <c r="F19" s="25">
        <v>102</v>
      </c>
      <c r="H19" s="14">
        <v>1</v>
      </c>
      <c r="I19" s="27">
        <v>6.36</v>
      </c>
      <c r="J19" s="12">
        <f t="shared" ref="J19" si="5">I19*H19</f>
        <v>6.36</v>
      </c>
      <c r="K19" s="7"/>
      <c r="L19" s="34" t="s">
        <v>53</v>
      </c>
      <c r="M19" s="34"/>
      <c r="U19">
        <v>4.5</v>
      </c>
    </row>
    <row r="20" spans="2:21" x14ac:dyDescent="0.2">
      <c r="B20" s="24" t="s">
        <v>35</v>
      </c>
      <c r="C20" s="30">
        <v>0.5</v>
      </c>
      <c r="E20" s="25">
        <v>3</v>
      </c>
      <c r="F20" s="25">
        <v>589</v>
      </c>
      <c r="H20" s="28">
        <f>C20/E20</f>
        <v>0.16666666666666666</v>
      </c>
      <c r="I20" s="7">
        <v>8.06</v>
      </c>
      <c r="J20" s="12">
        <f>I20*H20</f>
        <v>1.3433333333333333</v>
      </c>
      <c r="K20" s="7"/>
      <c r="L20" s="8" t="s">
        <v>36</v>
      </c>
      <c r="M20" s="8"/>
    </row>
    <row r="21" spans="2:21" x14ac:dyDescent="0.2">
      <c r="B21" s="24" t="s">
        <v>54</v>
      </c>
      <c r="C21" s="30">
        <v>6</v>
      </c>
      <c r="D21" s="25"/>
      <c r="E21" s="16">
        <v>1</v>
      </c>
      <c r="F21" s="25">
        <v>1212</v>
      </c>
      <c r="H21" s="6">
        <f>E21/C21</f>
        <v>0.16666666666666666</v>
      </c>
      <c r="I21" s="27">
        <v>4.46</v>
      </c>
      <c r="J21" s="12">
        <f>I21*H21</f>
        <v>0.74333333333333329</v>
      </c>
      <c r="K21" s="7"/>
      <c r="L21" s="34" t="s">
        <v>55</v>
      </c>
      <c r="M21" s="34"/>
    </row>
    <row r="23" spans="2:21" x14ac:dyDescent="0.2">
      <c r="B23" s="24" t="s">
        <v>76</v>
      </c>
      <c r="C23" s="30">
        <v>1</v>
      </c>
      <c r="E23" s="25">
        <v>10</v>
      </c>
      <c r="F23" s="25">
        <v>798</v>
      </c>
      <c r="H23" s="6">
        <f t="shared" ref="H23:H24" si="6">C23/E23</f>
        <v>0.1</v>
      </c>
      <c r="I23" s="27">
        <f>4.45*E23</f>
        <v>44.5</v>
      </c>
      <c r="J23" s="12">
        <f>I23*H23</f>
        <v>4.45</v>
      </c>
      <c r="K23" s="7"/>
      <c r="L23" s="8" t="s">
        <v>84</v>
      </c>
      <c r="M23" s="8"/>
    </row>
    <row r="24" spans="2:21" x14ac:dyDescent="0.2">
      <c r="B24" s="24" t="s">
        <v>77</v>
      </c>
      <c r="C24">
        <v>1</v>
      </c>
      <c r="E24" s="14">
        <v>30</v>
      </c>
      <c r="F24" s="44">
        <v>1408</v>
      </c>
      <c r="G24" s="43">
        <f>I24*E24</f>
        <v>402</v>
      </c>
      <c r="H24" s="6">
        <f t="shared" si="6"/>
        <v>3.3333333333333333E-2</v>
      </c>
      <c r="I24" s="42">
        <f>1.34*(E24/3)</f>
        <v>13.4</v>
      </c>
      <c r="J24" s="12">
        <f>I24*H24</f>
        <v>0.44666666666666666</v>
      </c>
      <c r="K24" s="7"/>
      <c r="L24" t="s">
        <v>81</v>
      </c>
    </row>
    <row r="26" spans="2:21" x14ac:dyDescent="0.2">
      <c r="B26" t="s">
        <v>10</v>
      </c>
      <c r="C26">
        <v>4</v>
      </c>
      <c r="D26" t="s">
        <v>11</v>
      </c>
      <c r="E26" s="14">
        <f>4*12</f>
        <v>48</v>
      </c>
      <c r="F26" s="8" t="s">
        <v>12</v>
      </c>
      <c r="H26" s="6">
        <f t="shared" ref="H26" si="7">C26/E26</f>
        <v>8.3333333333333329E-2</v>
      </c>
      <c r="I26" s="7">
        <v>1.82</v>
      </c>
      <c r="J26" s="12">
        <f t="shared" ref="J26" si="8">I26*H26</f>
        <v>0.15166666666666667</v>
      </c>
      <c r="K26" s="7"/>
      <c r="L26" t="str">
        <f t="shared" ref="L26" si="9">CONCATENATE($L$1,F26)</f>
        <v>7856K133</v>
      </c>
    </row>
    <row r="27" spans="2:21" x14ac:dyDescent="0.2">
      <c r="E27" s="14"/>
      <c r="F27" s="8"/>
      <c r="H27" s="6"/>
      <c r="I27" s="7"/>
      <c r="J27" s="12"/>
      <c r="K27" s="7"/>
    </row>
    <row r="28" spans="2:21" x14ac:dyDescent="0.2">
      <c r="B28" t="s">
        <v>86</v>
      </c>
      <c r="E28" s="14"/>
      <c r="F28" s="8"/>
      <c r="H28" s="6"/>
      <c r="I28" s="7">
        <v>6.12</v>
      </c>
      <c r="J28" s="12"/>
      <c r="K28" s="7"/>
      <c r="L28" t="s">
        <v>133</v>
      </c>
    </row>
    <row r="29" spans="2:21" x14ac:dyDescent="0.2">
      <c r="B29" s="20" t="s">
        <v>87</v>
      </c>
      <c r="U29">
        <v>0.4</v>
      </c>
    </row>
    <row r="30" spans="2:21" x14ac:dyDescent="0.2">
      <c r="F30" s="8"/>
      <c r="H30" s="6"/>
      <c r="I30" s="7"/>
      <c r="J30" s="11"/>
      <c r="K30" s="7"/>
      <c r="U30" s="7">
        <f>J31-SUM(U7:U29)</f>
        <v>35.905334693877542</v>
      </c>
    </row>
    <row r="31" spans="2:21" x14ac:dyDescent="0.2">
      <c r="J31" s="31">
        <f>SUM(J5:J30)</f>
        <v>60.305334693877541</v>
      </c>
      <c r="K31" s="32" t="s">
        <v>66</v>
      </c>
      <c r="L31" s="32"/>
      <c r="M31" s="50"/>
      <c r="O31" t="s">
        <v>44</v>
      </c>
    </row>
    <row r="33" spans="1:15" ht="17" thickBot="1" x14ac:dyDescent="0.25">
      <c r="A33" s="51" t="s">
        <v>137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5" spans="1:15" x14ac:dyDescent="0.2">
      <c r="B35" t="s">
        <v>92</v>
      </c>
      <c r="I35">
        <v>1.75</v>
      </c>
      <c r="J35">
        <v>1.56</v>
      </c>
      <c r="L35" t="s">
        <v>94</v>
      </c>
    </row>
    <row r="36" spans="1:15" x14ac:dyDescent="0.2">
      <c r="B36" t="s">
        <v>96</v>
      </c>
      <c r="I36">
        <v>2.58</v>
      </c>
      <c r="J36">
        <v>2</v>
      </c>
      <c r="L36" t="s">
        <v>95</v>
      </c>
    </row>
    <row r="37" spans="1:15" x14ac:dyDescent="0.2">
      <c r="B37" t="s">
        <v>136</v>
      </c>
      <c r="C37">
        <v>8</v>
      </c>
      <c r="E37">
        <v>100</v>
      </c>
      <c r="H37" s="6">
        <f t="shared" ref="H37" si="10">C37/E37</f>
        <v>0.08</v>
      </c>
      <c r="I37" s="42">
        <v>8.99</v>
      </c>
      <c r="J37" s="12">
        <f t="shared" ref="J37" si="11">I37*H37</f>
        <v>0.71920000000000006</v>
      </c>
      <c r="L37" t="s">
        <v>135</v>
      </c>
    </row>
    <row r="38" spans="1:15" x14ac:dyDescent="0.2">
      <c r="H38" s="6"/>
      <c r="I38" s="42"/>
      <c r="J38" s="12"/>
    </row>
    <row r="40" spans="1:15" ht="17" thickBot="1" x14ac:dyDescent="0.25">
      <c r="A40" s="51" t="s">
        <v>69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spans="1:15" x14ac:dyDescent="0.2">
      <c r="B41" s="35" t="s">
        <v>56</v>
      </c>
      <c r="C41" s="38">
        <v>1</v>
      </c>
      <c r="D41" s="36"/>
      <c r="E41" s="16">
        <v>1</v>
      </c>
      <c r="F41" s="14" t="s">
        <v>57</v>
      </c>
      <c r="G41" s="15">
        <v>9.0004000000000008</v>
      </c>
      <c r="H41" s="36">
        <v>1</v>
      </c>
      <c r="I41" s="15">
        <v>9.0004000000000008</v>
      </c>
      <c r="J41" s="12">
        <f>I41*H41</f>
        <v>9.0004000000000008</v>
      </c>
      <c r="L41" s="37" t="s">
        <v>59</v>
      </c>
    </row>
  </sheetData>
  <hyperlinks>
    <hyperlink ref="L19" r:id="rId1"/>
    <hyperlink ref="L20" r:id="rId2"/>
    <hyperlink ref="L17" r:id="rId3"/>
    <hyperlink ref="F26" r:id="rId4" location="7856K133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Seaglide BOM</vt:lpstr>
      <vt:lpstr>Sensor pack &amp; extras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BC</dc:creator>
  <cp:lastModifiedBy>Microsoft Office User</cp:lastModifiedBy>
  <cp:lastPrinted>2013-06-28T11:46:44Z</cp:lastPrinted>
  <dcterms:created xsi:type="dcterms:W3CDTF">2013-06-28T05:18:12Z</dcterms:created>
  <dcterms:modified xsi:type="dcterms:W3CDTF">2016-07-07T14:16:27Z</dcterms:modified>
</cp:coreProperties>
</file>