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1" sheetId="1" r:id="rId4"/>
    <sheet state="visible" name="Bài 2" sheetId="2" r:id="rId5"/>
    <sheet state="visible" name="Bài 3" sheetId="3" r:id="rId6"/>
    <sheet state="visible" name="Bài 4" sheetId="4" r:id="rId7"/>
    <sheet state="visible" name="Bài 5" sheetId="5" r:id="rId8"/>
    <sheet state="visible" name="Bài 6" sheetId="6" r:id="rId9"/>
    <sheet state="visible" name="Bài 7" sheetId="7" r:id="rId10"/>
    <sheet state="visible" name="Bài 8" sheetId="8" r:id="rId11"/>
    <sheet state="visible" name="Bài 9" sheetId="9" r:id="rId12"/>
    <sheet state="visible" name="Bài 10" sheetId="10" r:id="rId13"/>
  </sheets>
  <definedNames>
    <definedName name="_xlchart.v1.0">'Bài 7'!$A$22:$A$24</definedName>
    <definedName name="_xlchart.v1.6">'Bài 7'!$D$22:$D$24</definedName>
    <definedName name="_xlchart.v1.5">'Bài 7'!$D$21</definedName>
    <definedName name="_xlchart.v1.2">'Bài 7'!$B$22:$B$24</definedName>
    <definedName name="_xlchart.v1.3">'Bài 7'!$C$21</definedName>
    <definedName name="_xlchart.v1.4">'Bài 7'!$C$22:$C$24</definedName>
    <definedName name="_xlchart.v1.1">'Bài 7'!$B$21</definedName>
  </definedNames>
  <calcPr/>
  <extLst>
    <ext uri="GoogleSheetsCustomDataVersion2">
      <go:sheetsCustomData xmlns:go="http://customooxmlschemas.google.com/" r:id="rId14" roundtripDataChecksum="zUe01XvdjTvnKQPpiele9jPaVVI/CoFoepLHnrrfk3E="/>
    </ext>
  </extLst>
</workbook>
</file>

<file path=xl/sharedStrings.xml><?xml version="1.0" encoding="utf-8"?>
<sst xmlns="http://schemas.openxmlformats.org/spreadsheetml/2006/main" count="443" uniqueCount="283">
  <si>
    <t>CỬA HÀNG VẬT TƯ</t>
  </si>
  <si>
    <t>STT</t>
  </si>
  <si>
    <t xml:space="preserve">Tên vật tư </t>
  </si>
  <si>
    <t>Đơn vị</t>
  </si>
  <si>
    <t xml:space="preserve">Số lượng </t>
  </si>
  <si>
    <t xml:space="preserve">Đơn giá </t>
  </si>
  <si>
    <t>Chuyên chở</t>
  </si>
  <si>
    <t>Thành tiền</t>
  </si>
  <si>
    <t>Cát</t>
  </si>
  <si>
    <t xml:space="preserve">Khối </t>
  </si>
  <si>
    <t xml:space="preserve">Đá </t>
  </si>
  <si>
    <t>Gạch ống</t>
  </si>
  <si>
    <t>Viên</t>
  </si>
  <si>
    <t xml:space="preserve">Sắt </t>
  </si>
  <si>
    <t>Kg</t>
  </si>
  <si>
    <t>Xi măng</t>
  </si>
  <si>
    <t>Bao</t>
  </si>
  <si>
    <t>Tổng cộng</t>
  </si>
  <si>
    <t>BẢNG THANH TOÁN LƯƠNG THÁNG</t>
  </si>
  <si>
    <t>MPC =</t>
  </si>
  <si>
    <t>MLCB =</t>
  </si>
  <si>
    <t>Họ và tên</t>
  </si>
  <si>
    <t>Chức vụ</t>
  </si>
  <si>
    <t>LCB</t>
  </si>
  <si>
    <t>PCTN</t>
  </si>
  <si>
    <t>PCCV</t>
  </si>
  <si>
    <t xml:space="preserve">Thưởng </t>
  </si>
  <si>
    <t>Thực lãnh</t>
  </si>
  <si>
    <t>Nguyễn Vũ Lân</t>
  </si>
  <si>
    <t>HT</t>
  </si>
  <si>
    <t>Huỳnh Thúy Anh</t>
  </si>
  <si>
    <t>HP</t>
  </si>
  <si>
    <t>Ngô Thanh Vân</t>
  </si>
  <si>
    <t>TP</t>
  </si>
  <si>
    <t>Nguyễn Thị Hà</t>
  </si>
  <si>
    <t>PP</t>
  </si>
  <si>
    <t>Hồ Minh Tâm</t>
  </si>
  <si>
    <t>NV</t>
  </si>
  <si>
    <t>Trần Hiếu Trung</t>
  </si>
  <si>
    <t>GV</t>
  </si>
  <si>
    <t>Lê Thùy Vân</t>
  </si>
  <si>
    <t>MPC = Mức phụ cấp</t>
  </si>
  <si>
    <t>MLCB = Mức lương căn bản</t>
  </si>
  <si>
    <t>LCB = Lương căn bản</t>
  </si>
  <si>
    <t>PCTN= Phụ cấp thất nghiệp</t>
  </si>
  <si>
    <t>PCCV = Phụ cấp chức vụ</t>
  </si>
  <si>
    <t>TỔNG QUỸ LƯƠNG</t>
  </si>
  <si>
    <t>NLV</t>
  </si>
  <si>
    <t>Lương</t>
  </si>
  <si>
    <t>Lê Xuân Anh</t>
  </si>
  <si>
    <t>GD</t>
  </si>
  <si>
    <t>Trần Thế Mỹ</t>
  </si>
  <si>
    <t>PG</t>
  </si>
  <si>
    <t>Lê Văn Hòa</t>
  </si>
  <si>
    <t>Võ Thế Hùng</t>
  </si>
  <si>
    <t>Lê Ngọc Hạnh</t>
  </si>
  <si>
    <t>Trần Văn Tính</t>
  </si>
  <si>
    <t>Phạm Thùy Vân</t>
  </si>
  <si>
    <t>TỔNG :</t>
  </si>
  <si>
    <t>BẢNG ĐIỂM THI CUỐI KHÓA</t>
  </si>
  <si>
    <t>Môn thi: Lập trình Căn bản</t>
  </si>
  <si>
    <t>TT</t>
  </si>
  <si>
    <t>Thực
 hành</t>
  </si>
  <si>
    <t>Lý thuyết</t>
  </si>
  <si>
    <t>Điểm</t>
  </si>
  <si>
    <t>Kết quả</t>
  </si>
  <si>
    <t>Xếp loại</t>
  </si>
  <si>
    <t>Xếp hạng</t>
  </si>
  <si>
    <t>Nguyễn Hữu An</t>
  </si>
  <si>
    <t>Phạm Vũ Bảo</t>
  </si>
  <si>
    <t>Lê Minh Chương</t>
  </si>
  <si>
    <t>Võ Phong Phú</t>
  </si>
  <si>
    <t>Nguyễn Hải Minh</t>
  </si>
  <si>
    <t>Nguyễn Quý Sơn</t>
  </si>
  <si>
    <t>Mai Công Tâm</t>
  </si>
  <si>
    <t>Nguyễn Thanh Tùng</t>
  </si>
  <si>
    <t>Huỳnh Trung Tuấn</t>
  </si>
  <si>
    <t>Điểm trung bình</t>
  </si>
  <si>
    <t>Điểm lớn nhất</t>
  </si>
  <si>
    <t>Điểm bé nhất</t>
  </si>
  <si>
    <t>TÌNH HÌNH KINH DOANH THÁNG 07/2010</t>
  </si>
  <si>
    <t>Số TT</t>
  </si>
  <si>
    <t>Tên
khách</t>
  </si>
  <si>
    <t>Loại 
phòng</t>
  </si>
  <si>
    <t>Ngày đến</t>
  </si>
  <si>
    <t>Ngày đi</t>
  </si>
  <si>
    <t>Số tuần</t>
  </si>
  <si>
    <t>Số ngày
 lẻ</t>
  </si>
  <si>
    <t>Tính tiền
 theo tuần</t>
  </si>
  <si>
    <t>Tính tiền
 theo ngày</t>
  </si>
  <si>
    <t>Thành 
tiền</t>
  </si>
  <si>
    <t>Thành</t>
  </si>
  <si>
    <t>B</t>
  </si>
  <si>
    <t>Tân</t>
  </si>
  <si>
    <t>A</t>
  </si>
  <si>
    <t>Thảo</t>
  </si>
  <si>
    <t>Hải</t>
  </si>
  <si>
    <t>C</t>
  </si>
  <si>
    <t xml:space="preserve">Trí </t>
  </si>
  <si>
    <t>Hùng</t>
  </si>
  <si>
    <t>Dung</t>
  </si>
  <si>
    <t>Bảng giá</t>
  </si>
  <si>
    <t>Đơn giá
tuần</t>
  </si>
  <si>
    <t>Đơn giá
ngày lẻ</t>
  </si>
  <si>
    <t>Loại phòng</t>
  </si>
  <si>
    <t>Doanh thu</t>
  </si>
  <si>
    <t>DANH SÁCH KHÁCH DU LỊCH</t>
  </si>
  <si>
    <t>HỌ LÓT</t>
  </si>
  <si>
    <t>TÊN</t>
  </si>
  <si>
    <t>MÃ DL</t>
  </si>
  <si>
    <t>TÊN ĐỊA
PHƯƠNG</t>
  </si>
  <si>
    <t>GIÁ VÉ</t>
  </si>
  <si>
    <t>CHI PHÍ</t>
  </si>
  <si>
    <t>TỔNG
 CỘNG</t>
  </si>
  <si>
    <t>Lê Minh</t>
  </si>
  <si>
    <t>Chương</t>
  </si>
  <si>
    <t>ĐLB</t>
  </si>
  <si>
    <t>Võ Phong</t>
  </si>
  <si>
    <t>Phú</t>
  </si>
  <si>
    <t>ĐLA</t>
  </si>
  <si>
    <t xml:space="preserve">Huỳnh Trung </t>
  </si>
  <si>
    <t xml:space="preserve">Tuấn </t>
  </si>
  <si>
    <t xml:space="preserve">Nguyễn Hữu </t>
  </si>
  <si>
    <t xml:space="preserve">Hạnh </t>
  </si>
  <si>
    <t>Phạm Vũ</t>
  </si>
  <si>
    <t>Bảo</t>
  </si>
  <si>
    <t>NTB</t>
  </si>
  <si>
    <t>Mai Công</t>
  </si>
  <si>
    <t>Tâm</t>
  </si>
  <si>
    <t>Lê Thùy</t>
  </si>
  <si>
    <t>Vân</t>
  </si>
  <si>
    <t>NTA</t>
  </si>
  <si>
    <t>An</t>
  </si>
  <si>
    <t>VTA</t>
  </si>
  <si>
    <t>Nguyễn Hải</t>
  </si>
  <si>
    <t>Minh</t>
  </si>
  <si>
    <t>VTB</t>
  </si>
  <si>
    <t>Nguyễn Quý</t>
  </si>
  <si>
    <t>Sơn</t>
  </si>
  <si>
    <t>Nguyễn Thanh</t>
  </si>
  <si>
    <t>Tùng</t>
  </si>
  <si>
    <t>Trần Trung</t>
  </si>
  <si>
    <t>Hiếu</t>
  </si>
  <si>
    <t>Bảng 1</t>
  </si>
  <si>
    <t>MÃ ĐP</t>
  </si>
  <si>
    <t>TÊN ĐỊA PHƯƠNG</t>
  </si>
  <si>
    <t>CHI PHÍ A</t>
  </si>
  <si>
    <t>CHI PHÍ B</t>
  </si>
  <si>
    <t>VT</t>
  </si>
  <si>
    <t>VŨNG TÀU</t>
  </si>
  <si>
    <t>NT</t>
  </si>
  <si>
    <t>NHA TRANG</t>
  </si>
  <si>
    <t>ĐL</t>
  </si>
  <si>
    <t>ĐÀ LẠT</t>
  </si>
  <si>
    <t>MÃ
HÀNG</t>
  </si>
  <si>
    <t>TÊN
HÀNG</t>
  </si>
  <si>
    <t>NGÀY
BÁN</t>
  </si>
  <si>
    <t>SỐ
LƯỢNG</t>
  </si>
  <si>
    <t>TRỊ GIÁ</t>
  </si>
  <si>
    <t>THUẾ</t>
  </si>
  <si>
    <t>HUÊ HỒNG</t>
  </si>
  <si>
    <t>THU</t>
  </si>
  <si>
    <t>MG</t>
  </si>
  <si>
    <t>TL</t>
  </si>
  <si>
    <t>TV</t>
  </si>
  <si>
    <t>TỔNG</t>
  </si>
  <si>
    <t>Bảng 2</t>
  </si>
  <si>
    <t>THỜI ĐIỂM</t>
  </si>
  <si>
    <t>MÃ HÀNG</t>
  </si>
  <si>
    <t>TÊN HÀNG</t>
  </si>
  <si>
    <t>TI VI</t>
  </si>
  <si>
    <t>TỦ LẠNH</t>
  </si>
  <si>
    <t>MÁY GIẶT</t>
  </si>
  <si>
    <t>TỶ LỆ THUẾ</t>
  </si>
  <si>
    <t>DOANH THU</t>
  </si>
  <si>
    <t>THÁNG 10</t>
  </si>
  <si>
    <t>THÁNG 11</t>
  </si>
  <si>
    <t>THÁNG 12</t>
  </si>
  <si>
    <t>Công ty Du lịch QUÊ HƯƠNG</t>
  </si>
  <si>
    <t>BÁO CÁO DOAH THU QUÝ 4/2008</t>
  </si>
  <si>
    <t>TÊN KHÁCH HÀNG</t>
  </si>
  <si>
    <t>MÃ SỐ</t>
  </si>
  <si>
    <t>TÊN XE</t>
  </si>
  <si>
    <t>THÀNH 
TIỀN</t>
  </si>
  <si>
    <t>GIẢM 
GIÁ</t>
  </si>
  <si>
    <t>CTY HOA HỒNG</t>
  </si>
  <si>
    <t>HVTA</t>
  </si>
  <si>
    <t>XN IN Q.5</t>
  </si>
  <si>
    <t>HNTB</t>
  </si>
  <si>
    <t>XN GIÀY DA Q.1</t>
  </si>
  <si>
    <t>MNTB</t>
  </si>
  <si>
    <t>CTY PHÁT ĐẠT</t>
  </si>
  <si>
    <t>MĐLB</t>
  </si>
  <si>
    <t>CTY THỊNH PHÁT</t>
  </si>
  <si>
    <t>MVTA</t>
  </si>
  <si>
    <t>XN MAY SAIGON</t>
  </si>
  <si>
    <t>TĐLA</t>
  </si>
  <si>
    <t>CTY NHẬT TÂN</t>
  </si>
  <si>
    <t>TVTB</t>
  </si>
  <si>
    <t>XN KHẢI HOÀN</t>
  </si>
  <si>
    <t>TNTA</t>
  </si>
  <si>
    <t>MÃ XE</t>
  </si>
  <si>
    <t>MÃ ĐỊA PHƯƠNG</t>
  </si>
  <si>
    <t>T</t>
  </si>
  <si>
    <t>TOYOTA</t>
  </si>
  <si>
    <t>TỔNG THU</t>
  </si>
  <si>
    <t>M</t>
  </si>
  <si>
    <t>MERCEDES</t>
  </si>
  <si>
    <t>H</t>
  </si>
  <si>
    <t>HUYNDAI</t>
  </si>
  <si>
    <t>MÃ SỐ bao gồm:</t>
  </si>
  <si>
    <t xml:space="preserve">   Ký tự đầu là mã xe</t>
  </si>
  <si>
    <t xml:space="preserve">   Hai ký tự giữa là mã điạ phương</t>
  </si>
  <si>
    <t xml:space="preserve">   Ký tự cuối là loại dịch vụ</t>
  </si>
  <si>
    <t>CÔNG TY DU LỊCH CHÂN TRỜI MỚI</t>
  </si>
  <si>
    <t>MÃ DU LỊCH</t>
  </si>
  <si>
    <t>ĐỊA ĐIỂM
DU LỊCH</t>
  </si>
  <si>
    <t>PHƯƠNG TIỆN 
LOẠI DV</t>
  </si>
  <si>
    <t>PHỤ THU</t>
  </si>
  <si>
    <t>TỔNG TIỀN</t>
  </si>
  <si>
    <t>ĐLX1N</t>
  </si>
  <si>
    <t>MÁY BAY LOẠI 1</t>
  </si>
  <si>
    <t>ĐLB2V</t>
  </si>
  <si>
    <t>MÁY BAY LOẠI 2</t>
  </si>
  <si>
    <t>HNB2V</t>
  </si>
  <si>
    <t>HNB1N</t>
  </si>
  <si>
    <t>HNX1V</t>
  </si>
  <si>
    <t>HNX2V</t>
  </si>
  <si>
    <t>NTX1N</t>
  </si>
  <si>
    <t>NTX1V</t>
  </si>
  <si>
    <t>NTB2V</t>
  </si>
  <si>
    <t>MÁY BAY</t>
  </si>
  <si>
    <t>XE DU LỊCH</t>
  </si>
  <si>
    <t>LOẠI 1</t>
  </si>
  <si>
    <t>LOẠI 2</t>
  </si>
  <si>
    <t>HN</t>
  </si>
  <si>
    <t>HÀ NỘI</t>
  </si>
  <si>
    <t>MÃ PT</t>
  </si>
  <si>
    <t>X</t>
  </si>
  <si>
    <t>PHƯƠNG TIỆN</t>
  </si>
  <si>
    <t>MÃ DU LỊCH bao gồm:</t>
  </si>
  <si>
    <t>Hai ký tự đầu là MÃ ĐP</t>
  </si>
  <si>
    <t>Ký tự thứ ba là MÃ PT</t>
  </si>
  <si>
    <t>Ký tự thứ tư là LOẠI CHI PHÍ</t>
  </si>
  <si>
    <t>Ký tự cuối cho biêt du khách Việt Nam (V) hay nước ngoài (N)</t>
  </si>
  <si>
    <t>BẢNG THỐNG KÊ</t>
  </si>
  <si>
    <t>ĐỊA ĐIỂM DL</t>
  </si>
  <si>
    <t>TỔNG SỐ KHÁCH</t>
  </si>
  <si>
    <t>Công ty TNHH Nông Thôn</t>
  </si>
  <si>
    <t>BÁO CÁO THU MUA HẠT ĐIỀU</t>
  </si>
  <si>
    <t>Ngày</t>
  </si>
  <si>
    <t>Số CT</t>
  </si>
  <si>
    <t>Mã hàng</t>
  </si>
  <si>
    <t>Số lượng
(kg)</t>
  </si>
  <si>
    <t>Đơn giá
(VNĐ)</t>
  </si>
  <si>
    <t>Trị giá 
hàng</t>
  </si>
  <si>
    <t>Vận 
chuyển</t>
  </si>
  <si>
    <t>Thuế</t>
  </si>
  <si>
    <t>DN-005</t>
  </si>
  <si>
    <t>N-15</t>
  </si>
  <si>
    <t>LD_001</t>
  </si>
  <si>
    <t>SB-012</t>
  </si>
  <si>
    <t>N-20</t>
  </si>
  <si>
    <t>TN-005</t>
  </si>
  <si>
    <t>LD-004</t>
  </si>
  <si>
    <t>X-05</t>
  </si>
  <si>
    <t>LD-005</t>
  </si>
  <si>
    <t>DN-012</t>
  </si>
  <si>
    <t>TN-002</t>
  </si>
  <si>
    <t>X-10</t>
  </si>
  <si>
    <t>LD-002</t>
  </si>
  <si>
    <t>TN-004</t>
  </si>
  <si>
    <t>Đơn giá</t>
  </si>
  <si>
    <t>Bảng chi phí</t>
  </si>
  <si>
    <t>Khu vực</t>
  </si>
  <si>
    <t>Giá vận chuyển
(1 kg hàng)</t>
  </si>
  <si>
    <t>Tổng cộng
vận chuyển</t>
  </si>
  <si>
    <t>DN****</t>
  </si>
  <si>
    <t>DN</t>
  </si>
  <si>
    <t>LD****</t>
  </si>
  <si>
    <t>LD</t>
  </si>
  <si>
    <t>SB</t>
  </si>
  <si>
    <t>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</si>
</sst>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1.0"/>
      <color theme="1"/>
      <name val="Calibri"/>
      <scheme val="minor"/>
    </font>
    <font>
      <sz val="11.0"/>
      <color theme="1"/>
      <name val="Times New Roman"/>
    </font>
    <font>
      <b/>
      <sz val="12.0"/>
      <color theme="1"/>
      <name val="Times New Roman"/>
    </font>
    <font/>
    <font>
      <b/>
      <sz val="11.0"/>
      <color theme="1"/>
      <name val="Times New Roman"/>
    </font>
    <font>
      <b/>
      <sz val="14.0"/>
      <color theme="1"/>
      <name val="Times New Roman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2" fillId="0" fontId="1" numFmtId="3" xfId="0" applyBorder="1" applyFont="1" applyNumberFormat="1"/>
    <xf borderId="3" fillId="0" fontId="1" numFmtId="0" xfId="0" applyAlignment="1" applyBorder="1" applyFont="1">
      <alignment horizontal="right"/>
    </xf>
    <xf borderId="0" fillId="0" fontId="5" numFmtId="0" xfId="0" applyAlignment="1" applyFont="1">
      <alignment horizontal="center"/>
    </xf>
    <xf borderId="3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wrapText="1"/>
    </xf>
    <xf borderId="2" fillId="0" fontId="6" numFmtId="0" xfId="0" applyBorder="1" applyFont="1"/>
    <xf borderId="2" fillId="0" fontId="6" numFmtId="2" xfId="0" applyBorder="1" applyFont="1" applyNumberFormat="1"/>
    <xf borderId="2" fillId="0" fontId="6" numFmtId="1" xfId="0" applyBorder="1" applyFont="1" applyNumberFormat="1"/>
    <xf borderId="0" fillId="0" fontId="9" numFmtId="0" xfId="0" applyFont="1"/>
    <xf borderId="0" fillId="0" fontId="6" numFmtId="2" xfId="0" applyFont="1" applyNumberFormat="1"/>
    <xf borderId="1" fillId="0" fontId="7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wrapText="1"/>
    </xf>
    <xf borderId="2" fillId="0" fontId="6" numFmtId="14" xfId="0" applyBorder="1" applyFont="1" applyNumberFormat="1"/>
    <xf borderId="0" fillId="0" fontId="10" numFmtId="0" xfId="0" applyAlignment="1" applyFont="1">
      <alignment horizontal="center"/>
    </xf>
    <xf borderId="2" fillId="0" fontId="8" numFmtId="0" xfId="0" applyAlignment="1" applyBorder="1" applyFont="1">
      <alignment vertical="center"/>
    </xf>
    <xf borderId="2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/>
    </xf>
    <xf borderId="2" fillId="0" fontId="8" numFmtId="0" xfId="0" applyBorder="1" applyFont="1"/>
    <xf borderId="2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shrinkToFit="0" vertical="center" wrapText="1"/>
    </xf>
    <xf borderId="2" fillId="0" fontId="6" numFmtId="164" xfId="0" applyBorder="1" applyFont="1" applyNumberFormat="1"/>
    <xf borderId="3" fillId="0" fontId="6" numFmtId="0" xfId="0" applyAlignment="1" applyBorder="1" applyFont="1">
      <alignment horizontal="right"/>
    </xf>
    <xf borderId="2" fillId="0" fontId="6" numFmtId="9" xfId="0" applyBorder="1" applyFont="1" applyNumberFormat="1"/>
    <xf borderId="0" fillId="0" fontId="6" numFmtId="0" xfId="0" applyFont="1"/>
    <xf borderId="2" fillId="0" fontId="6" numFmtId="3" xfId="0" applyBorder="1" applyFont="1" applyNumberFormat="1"/>
    <xf borderId="0" fillId="0" fontId="6" numFmtId="0" xfId="0" applyAlignment="1" applyFont="1">
      <alignment horizontal="left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vertical="center"/>
    </xf>
    <xf borderId="7" fillId="0" fontId="3" numFmtId="0" xfId="0" applyBorder="1" applyFont="1"/>
    <xf borderId="3" fillId="0" fontId="8" numFmtId="0" xfId="0" applyAlignment="1" applyBorder="1" applyFont="1">
      <alignment horizontal="center"/>
    </xf>
    <xf borderId="8" fillId="0" fontId="3" numFmtId="0" xfId="0" applyBorder="1" applyFont="1"/>
    <xf borderId="1" fillId="0" fontId="7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10" xfId="0" applyBorder="1" applyFont="1" applyNumberFormat="1"/>
    <xf borderId="2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BIỂU ĐỒ SO SÁNH SỐ LƯỢNG HÀNG BÁN TRONG TỪNG THÁNG
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TV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'Bài 7'!$B$21:$D$21</c:f>
            </c:strRef>
          </c:cat>
          <c:val>
            <c:numRef>
              <c:f>'Bài 7'!$B$22:$D$22</c:f>
              <c:numCache/>
            </c:numRef>
          </c:val>
        </c:ser>
        <c:ser>
          <c:idx val="1"/>
          <c:order val="1"/>
          <c:tx>
            <c:v>TL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'Bài 7'!$B$21:$D$21</c:f>
            </c:strRef>
          </c:cat>
          <c:val>
            <c:numRef>
              <c:f>'Bài 7'!$B$23:$D$23</c:f>
              <c:numCache/>
            </c:numRef>
          </c:val>
        </c:ser>
        <c:ser>
          <c:idx val="2"/>
          <c:order val="2"/>
          <c:tx>
            <c:v>MG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'Bài 7'!$B$21:$D$21</c:f>
            </c:strRef>
          </c:cat>
          <c:val>
            <c:numRef>
              <c:f>'Bài 7'!$B$24:$D$24</c:f>
              <c:numCache/>
            </c:numRef>
          </c:val>
        </c:ser>
        <c:axId val="1701845532"/>
        <c:axId val="242326137"/>
      </c:barChart>
      <c:catAx>
        <c:axId val="1701845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2326137"/>
      </c:catAx>
      <c:valAx>
        <c:axId val="242326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184553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BIỂU ĐỒ THỂ HIỆN TỔNG THU CỦA TỪNG ĐỊA PHƯƠNG</a:t>
            </a:r>
          </a:p>
        </c:rich>
      </c:tx>
      <c:layout>
        <c:manualLayout>
          <c:xMode val="edge"/>
          <c:yMode val="edge"/>
          <c:x val="0.12462489063867015"/>
          <c:y val="0.023148148148148147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VT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'Bài 8'!$G$15</c:f>
            </c:strRef>
          </c:cat>
          <c:val>
            <c:numRef>
              <c:f>'Bài 8'!$I$15</c:f>
              <c:numCache/>
            </c:numRef>
          </c:val>
        </c:ser>
        <c:ser>
          <c:idx val="1"/>
          <c:order val="1"/>
          <c:tx>
            <c:v>NT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'Bài 8'!$G$15</c:f>
            </c:strRef>
          </c:cat>
          <c:val>
            <c:numRef>
              <c:f>'Bài 8'!$J$15</c:f>
              <c:numCache/>
            </c:numRef>
          </c:val>
        </c:ser>
        <c:ser>
          <c:idx val="2"/>
          <c:order val="2"/>
          <c:tx>
            <c:v>ĐL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'Bài 8'!$G$15</c:f>
            </c:strRef>
          </c:cat>
          <c:val>
            <c:numRef>
              <c:f>'Bài 8'!$K$15</c:f>
              <c:numCache/>
            </c:numRef>
          </c:val>
        </c:ser>
        <c:axId val="2084806754"/>
        <c:axId val="1231627867"/>
      </c:barChart>
      <c:catAx>
        <c:axId val="2084806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1627867"/>
      </c:catAx>
      <c:valAx>
        <c:axId val="1231627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8480675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SỐ LƯỢNG KHÁCH ĐI DU LỊCH THEO TỪNG ĐỊA ĐIỂM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NHA TRANG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'Bài 9'!$B$31</c:f>
            </c:strRef>
          </c:cat>
          <c:val>
            <c:numRef>
              <c:f>'Bài 9'!$C$31</c:f>
              <c:numCache/>
            </c:numRef>
          </c:val>
        </c:ser>
        <c:ser>
          <c:idx val="1"/>
          <c:order val="1"/>
          <c:tx>
            <c:v>ĐÀ LẠT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'Bài 9'!$B$31</c:f>
            </c:strRef>
          </c:cat>
          <c:val>
            <c:numRef>
              <c:f>'Bài 9'!$D$31</c:f>
              <c:numCache/>
            </c:numRef>
          </c:val>
        </c:ser>
        <c:ser>
          <c:idx val="2"/>
          <c:order val="2"/>
          <c:tx>
            <c:v>HÀ NỘI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'Bài 9'!$B$31</c:f>
            </c:strRef>
          </c:cat>
          <c:val>
            <c:numRef>
              <c:f>'Bài 9'!$E$31</c:f>
              <c:numCache/>
            </c:numRef>
          </c:val>
        </c:ser>
        <c:axId val="761356146"/>
        <c:axId val="783840700"/>
      </c:barChart>
      <c:catAx>
        <c:axId val="761356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3840700"/>
      </c:catAx>
      <c:valAx>
        <c:axId val="783840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135614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BIỂU ĐỒ THỂ HIỆN TỔNG CỘNG VẬN CHUYỂN THEO TỪNG KHU VỰC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Tổng cộng
vận chuyển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'Bài 10'!$A$22:$A$25</c:f>
            </c:strRef>
          </c:cat>
          <c:val>
            <c:numRef>
              <c:f>'Bài 10'!$D$22:$D$25</c:f>
              <c:numCache/>
            </c:numRef>
          </c:val>
        </c:ser>
        <c:axId val="38398661"/>
        <c:axId val="983811068"/>
      </c:barChart>
      <c:catAx>
        <c:axId val="38398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3811068"/>
      </c:catAx>
      <c:valAx>
        <c:axId val="983811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8398661"/>
      </c:valAx>
    </c:plotArea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123825</xdr:rowOff>
    </xdr:from>
    <xdr:ext cx="4543425" cy="2886075"/>
    <xdr:graphicFrame>
      <xdr:nvGraphicFramePr>
        <xdr:cNvPr id="124009700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27</xdr:row>
      <xdr:rowOff>19050</xdr:rowOff>
    </xdr:from>
    <xdr:ext cx="4752975" cy="2876550"/>
    <xdr:graphicFrame>
      <xdr:nvGraphicFramePr>
        <xdr:cNvPr id="151277927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33</xdr:row>
      <xdr:rowOff>171450</xdr:rowOff>
    </xdr:from>
    <xdr:ext cx="4514850" cy="2886075"/>
    <xdr:graphicFrame>
      <xdr:nvGraphicFramePr>
        <xdr:cNvPr id="48283746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27</xdr:row>
      <xdr:rowOff>180975</xdr:rowOff>
    </xdr:from>
    <xdr:ext cx="4543425" cy="2886075"/>
    <xdr:graphicFrame>
      <xdr:nvGraphicFramePr>
        <xdr:cNvPr id="187969210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6" width="8.71"/>
    <col customWidth="1" min="7" max="7" width="9.71"/>
    <col customWidth="1" min="8" max="26" width="8.71"/>
  </cols>
  <sheetData>
    <row r="1">
      <c r="A1" s="1"/>
      <c r="B1" s="2" t="s">
        <v>0</v>
      </c>
      <c r="C1" s="3"/>
      <c r="D1" s="3"/>
      <c r="E1" s="3"/>
      <c r="F1" s="3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f t="shared" ref="A3:A7" si="1">ROW()-2</f>
        <v>1</v>
      </c>
      <c r="B3" s="5" t="s">
        <v>8</v>
      </c>
      <c r="C3" s="5" t="s">
        <v>9</v>
      </c>
      <c r="D3" s="5">
        <v>50.0</v>
      </c>
      <c r="E3" s="5">
        <v>60000.0</v>
      </c>
      <c r="F3" s="5">
        <v>15000.0</v>
      </c>
      <c r="G3" s="5">
        <v>3015000.0</v>
      </c>
    </row>
    <row r="4">
      <c r="A4" s="5">
        <f t="shared" si="1"/>
        <v>2</v>
      </c>
      <c r="B4" s="5" t="s">
        <v>10</v>
      </c>
      <c r="C4" s="5" t="s">
        <v>9</v>
      </c>
      <c r="D4" s="5">
        <v>40.0</v>
      </c>
      <c r="E4" s="5">
        <v>100000.0</v>
      </c>
      <c r="F4" s="5">
        <v>20000.0</v>
      </c>
      <c r="G4" s="5">
        <v>4020000.0</v>
      </c>
    </row>
    <row r="5">
      <c r="A5" s="5">
        <f t="shared" si="1"/>
        <v>3</v>
      </c>
      <c r="B5" s="5" t="s">
        <v>11</v>
      </c>
      <c r="C5" s="5" t="s">
        <v>12</v>
      </c>
      <c r="D5" s="5">
        <v>4000.0</v>
      </c>
      <c r="E5" s="5">
        <v>350.0</v>
      </c>
      <c r="F5" s="5">
        <v>7000.0</v>
      </c>
      <c r="G5" s="5">
        <v>1407000.0</v>
      </c>
    </row>
    <row r="6">
      <c r="A6" s="5">
        <f t="shared" si="1"/>
        <v>4</v>
      </c>
      <c r="B6" s="5" t="s">
        <v>13</v>
      </c>
      <c r="C6" s="5" t="s">
        <v>14</v>
      </c>
      <c r="D6" s="5">
        <v>150.0</v>
      </c>
      <c r="E6" s="5">
        <v>3600.0</v>
      </c>
      <c r="F6" s="5">
        <v>2700.0</v>
      </c>
      <c r="G6" s="5">
        <v>542700.0</v>
      </c>
    </row>
    <row r="7">
      <c r="A7" s="5">
        <f t="shared" si="1"/>
        <v>5</v>
      </c>
      <c r="B7" s="5" t="s">
        <v>15</v>
      </c>
      <c r="C7" s="5" t="s">
        <v>16</v>
      </c>
      <c r="D7" s="5">
        <v>200.0</v>
      </c>
      <c r="E7" s="5">
        <v>45000.0</v>
      </c>
      <c r="F7" s="5">
        <v>45000.0</v>
      </c>
      <c r="G7" s="5">
        <v>9045000.0</v>
      </c>
    </row>
    <row r="8">
      <c r="A8" s="5"/>
      <c r="B8" s="6" t="s">
        <v>17</v>
      </c>
      <c r="C8" s="7"/>
      <c r="D8" s="7"/>
      <c r="E8" s="8"/>
      <c r="F8" s="5">
        <v>89700.0</v>
      </c>
      <c r="G8" s="5">
        <v>1.80297E7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G1"/>
    <mergeCell ref="B8:E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6.14"/>
    <col customWidth="1" min="3" max="5" width="8.71"/>
    <col customWidth="1" min="6" max="6" width="13.29"/>
    <col customWidth="1" min="7" max="7" width="9.71"/>
    <col customWidth="1" min="8" max="8" width="13.29"/>
    <col customWidth="1" min="9" max="26" width="8.71"/>
  </cols>
  <sheetData>
    <row r="1">
      <c r="A1" s="9" t="s">
        <v>18</v>
      </c>
      <c r="H1" s="1"/>
    </row>
    <row r="2">
      <c r="A2" s="1"/>
      <c r="B2" s="1"/>
      <c r="C2" s="1"/>
      <c r="D2" s="1"/>
      <c r="E2" s="1"/>
      <c r="F2" s="1"/>
      <c r="G2" s="1" t="s">
        <v>19</v>
      </c>
      <c r="H2" s="5">
        <v>400000.0</v>
      </c>
    </row>
    <row r="3">
      <c r="A3" s="1"/>
      <c r="B3" s="1"/>
      <c r="C3" s="1"/>
      <c r="D3" s="1"/>
      <c r="E3" s="1"/>
      <c r="F3" s="1"/>
      <c r="G3" s="1" t="s">
        <v>20</v>
      </c>
      <c r="H3" s="5">
        <v>830000.0</v>
      </c>
    </row>
    <row r="4">
      <c r="A4" s="10" t="s">
        <v>1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</row>
    <row r="5">
      <c r="A5" s="5">
        <v>1.0</v>
      </c>
      <c r="B5" s="5" t="s">
        <v>28</v>
      </c>
      <c r="C5" s="5" t="s">
        <v>29</v>
      </c>
      <c r="D5" s="5">
        <v>5.47</v>
      </c>
      <c r="E5" s="5">
        <v>8.0</v>
      </c>
      <c r="F5" s="11">
        <v>2000000.0</v>
      </c>
      <c r="G5" s="11">
        <f t="shared" ref="G5:G11" si="1">$H$2*E5*50%</f>
        <v>1600000</v>
      </c>
      <c r="H5" s="11">
        <f t="shared" ref="H5:H11" si="2">($H$3*D5)+F5+G5+$H$2</f>
        <v>8540100</v>
      </c>
    </row>
    <row r="6">
      <c r="A6" s="5">
        <v>2.0</v>
      </c>
      <c r="B6" s="5" t="s">
        <v>30</v>
      </c>
      <c r="C6" s="5" t="s">
        <v>31</v>
      </c>
      <c r="D6" s="5">
        <v>5.22</v>
      </c>
      <c r="E6" s="5">
        <v>6.0</v>
      </c>
      <c r="F6" s="11">
        <v>1800000.0</v>
      </c>
      <c r="G6" s="11">
        <f t="shared" si="1"/>
        <v>1200000</v>
      </c>
      <c r="H6" s="11">
        <f t="shared" si="2"/>
        <v>7732600</v>
      </c>
    </row>
    <row r="7">
      <c r="A7" s="5">
        <v>3.0</v>
      </c>
      <c r="B7" s="5" t="s">
        <v>32</v>
      </c>
      <c r="C7" s="5" t="s">
        <v>33</v>
      </c>
      <c r="D7" s="5">
        <v>3.3</v>
      </c>
      <c r="E7" s="5">
        <v>4.0</v>
      </c>
      <c r="F7" s="11">
        <v>1500000.0</v>
      </c>
      <c r="G7" s="11">
        <f t="shared" si="1"/>
        <v>800000</v>
      </c>
      <c r="H7" s="11">
        <f t="shared" si="2"/>
        <v>5439000</v>
      </c>
    </row>
    <row r="8">
      <c r="A8" s="5">
        <v>4.0</v>
      </c>
      <c r="B8" s="5" t="s">
        <v>34</v>
      </c>
      <c r="C8" s="5" t="s">
        <v>35</v>
      </c>
      <c r="D8" s="5">
        <v>4.62</v>
      </c>
      <c r="E8" s="5">
        <v>3.0</v>
      </c>
      <c r="F8" s="11">
        <v>1200000.0</v>
      </c>
      <c r="G8" s="11">
        <f t="shared" si="1"/>
        <v>600000</v>
      </c>
      <c r="H8" s="11">
        <f t="shared" si="2"/>
        <v>6034600</v>
      </c>
    </row>
    <row r="9">
      <c r="A9" s="5">
        <v>5.0</v>
      </c>
      <c r="B9" s="5" t="s">
        <v>36</v>
      </c>
      <c r="C9" s="5" t="s">
        <v>37</v>
      </c>
      <c r="D9" s="5">
        <v>3.88</v>
      </c>
      <c r="E9" s="5">
        <v>2.0</v>
      </c>
      <c r="F9" s="11">
        <v>1000000.0</v>
      </c>
      <c r="G9" s="11">
        <f t="shared" si="1"/>
        <v>400000</v>
      </c>
      <c r="H9" s="11">
        <f t="shared" si="2"/>
        <v>5020400</v>
      </c>
    </row>
    <row r="10">
      <c r="A10" s="5">
        <v>6.0</v>
      </c>
      <c r="B10" s="5" t="s">
        <v>38</v>
      </c>
      <c r="C10" s="5" t="s">
        <v>39</v>
      </c>
      <c r="D10" s="5">
        <v>4.98</v>
      </c>
      <c r="E10" s="5">
        <v>1.0</v>
      </c>
      <c r="F10" s="11">
        <v>1000000.0</v>
      </c>
      <c r="G10" s="11">
        <f t="shared" si="1"/>
        <v>200000</v>
      </c>
      <c r="H10" s="11">
        <f t="shared" si="2"/>
        <v>5733400</v>
      </c>
    </row>
    <row r="11">
      <c r="A11" s="5">
        <v>7.0</v>
      </c>
      <c r="B11" s="5" t="s">
        <v>40</v>
      </c>
      <c r="C11" s="5" t="s">
        <v>39</v>
      </c>
      <c r="D11" s="5">
        <v>5.22</v>
      </c>
      <c r="E11" s="5">
        <v>1.0</v>
      </c>
      <c r="F11" s="11">
        <v>1000000.0</v>
      </c>
      <c r="G11" s="11">
        <f t="shared" si="1"/>
        <v>200000</v>
      </c>
      <c r="H11" s="11">
        <f t="shared" si="2"/>
        <v>5932600</v>
      </c>
    </row>
    <row r="12">
      <c r="A12" s="12" t="s">
        <v>17</v>
      </c>
      <c r="B12" s="7"/>
      <c r="C12" s="7"/>
      <c r="D12" s="7"/>
      <c r="E12" s="7"/>
      <c r="F12" s="8"/>
      <c r="G12" s="11">
        <f t="shared" ref="G12:H12" si="3">SUM(G5:G11)</f>
        <v>5000000</v>
      </c>
      <c r="H12" s="11">
        <f t="shared" si="3"/>
        <v>44432700</v>
      </c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 t="s">
        <v>41</v>
      </c>
      <c r="B14" s="1"/>
      <c r="C14" s="1"/>
      <c r="D14" s="1"/>
      <c r="E14" s="1"/>
      <c r="F14" s="1"/>
      <c r="G14" s="1"/>
      <c r="H14" s="1"/>
    </row>
    <row r="15">
      <c r="A15" s="1" t="s">
        <v>42</v>
      </c>
      <c r="B15" s="1"/>
      <c r="C15" s="1"/>
      <c r="D15" s="1"/>
      <c r="E15" s="1"/>
      <c r="F15" s="1"/>
      <c r="G15" s="1"/>
      <c r="H15" s="1"/>
    </row>
    <row r="16">
      <c r="A16" s="1" t="s">
        <v>43</v>
      </c>
      <c r="B16" s="1"/>
      <c r="C16" s="1"/>
      <c r="D16" s="1"/>
      <c r="E16" s="1"/>
      <c r="F16" s="1"/>
      <c r="G16" s="1"/>
      <c r="H16" s="1"/>
    </row>
    <row r="17">
      <c r="A17" s="1" t="s">
        <v>44</v>
      </c>
      <c r="B17" s="1"/>
      <c r="C17" s="1"/>
      <c r="D17" s="1"/>
      <c r="E17" s="1"/>
      <c r="F17" s="1"/>
      <c r="G17" s="1"/>
      <c r="H17" s="1"/>
    </row>
    <row r="18">
      <c r="A18" s="1" t="s">
        <v>45</v>
      </c>
      <c r="B18" s="1"/>
      <c r="C18" s="1"/>
      <c r="D18" s="1"/>
      <c r="E18" s="1"/>
      <c r="F18" s="1"/>
      <c r="G18" s="1"/>
      <c r="H1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12:F1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8.0"/>
    <col customWidth="1" min="3" max="5" width="8.71"/>
    <col customWidth="1" min="6" max="6" width="10.71"/>
    <col customWidth="1" min="7" max="7" width="8.71"/>
    <col customWidth="1" min="8" max="8" width="9.71"/>
    <col customWidth="1" min="9" max="26" width="8.71"/>
  </cols>
  <sheetData>
    <row r="1">
      <c r="A1" s="13" t="s">
        <v>18</v>
      </c>
    </row>
    <row r="2">
      <c r="A2" s="1"/>
      <c r="B2" s="1"/>
      <c r="C2" s="1" t="s">
        <v>46</v>
      </c>
      <c r="D2" s="1"/>
      <c r="E2" s="1"/>
      <c r="F2" s="1">
        <v>2.5E7</v>
      </c>
      <c r="G2" s="1"/>
      <c r="H2" s="1"/>
    </row>
    <row r="3">
      <c r="A3" s="10" t="s">
        <v>1</v>
      </c>
      <c r="B3" s="10" t="s">
        <v>21</v>
      </c>
      <c r="C3" s="10" t="s">
        <v>22</v>
      </c>
      <c r="D3" s="14" t="s">
        <v>23</v>
      </c>
      <c r="E3" s="10" t="s">
        <v>47</v>
      </c>
      <c r="F3" s="10" t="s">
        <v>48</v>
      </c>
      <c r="G3" s="10" t="s">
        <v>26</v>
      </c>
      <c r="H3" s="10" t="s">
        <v>27</v>
      </c>
    </row>
    <row r="4">
      <c r="A4" s="5">
        <f t="shared" ref="A4:A10" si="1">ROW()-3</f>
        <v>1</v>
      </c>
      <c r="B4" s="5" t="s">
        <v>49</v>
      </c>
      <c r="C4" s="5" t="s">
        <v>50</v>
      </c>
      <c r="D4" s="6">
        <v>170000.0</v>
      </c>
      <c r="E4" s="5">
        <v>24.0</v>
      </c>
      <c r="F4" s="5">
        <f t="shared" ref="F4:F10" si="2">IF(E4&lt;=24,(D4*E4),(D4*24+D4*(E4-24)*2))</f>
        <v>4080000</v>
      </c>
      <c r="G4" s="5">
        <f t="shared" ref="G4:G10" si="3">($F$2-$F$11)/$E$11*E4</f>
        <v>546206.8966</v>
      </c>
      <c r="H4" s="5">
        <f t="shared" ref="H4:H10" si="4">F4+G4</f>
        <v>4626206.897</v>
      </c>
    </row>
    <row r="5">
      <c r="A5" s="5">
        <f t="shared" si="1"/>
        <v>2</v>
      </c>
      <c r="B5" s="5" t="s">
        <v>51</v>
      </c>
      <c r="C5" s="5" t="s">
        <v>52</v>
      </c>
      <c r="D5" s="6">
        <v>150000.0</v>
      </c>
      <c r="E5" s="5">
        <v>22.0</v>
      </c>
      <c r="F5" s="5">
        <f t="shared" si="2"/>
        <v>3300000</v>
      </c>
      <c r="G5" s="5">
        <f t="shared" si="3"/>
        <v>500689.6552</v>
      </c>
      <c r="H5" s="5">
        <f t="shared" si="4"/>
        <v>3800689.655</v>
      </c>
    </row>
    <row r="6">
      <c r="A6" s="5">
        <f t="shared" si="1"/>
        <v>3</v>
      </c>
      <c r="B6" s="5" t="s">
        <v>53</v>
      </c>
      <c r="C6" s="5" t="s">
        <v>33</v>
      </c>
      <c r="D6" s="6">
        <v>130000.0</v>
      </c>
      <c r="E6" s="5">
        <v>24.0</v>
      </c>
      <c r="F6" s="5">
        <f t="shared" si="2"/>
        <v>3120000</v>
      </c>
      <c r="G6" s="5">
        <f t="shared" si="3"/>
        <v>546206.8966</v>
      </c>
      <c r="H6" s="5">
        <f t="shared" si="4"/>
        <v>3666206.897</v>
      </c>
    </row>
    <row r="7">
      <c r="A7" s="5">
        <f t="shared" si="1"/>
        <v>4</v>
      </c>
      <c r="B7" s="5" t="s">
        <v>54</v>
      </c>
      <c r="C7" s="5" t="s">
        <v>35</v>
      </c>
      <c r="D7" s="6">
        <v>110000.0</v>
      </c>
      <c r="E7" s="5">
        <v>25.0</v>
      </c>
      <c r="F7" s="5">
        <f t="shared" si="2"/>
        <v>2860000</v>
      </c>
      <c r="G7" s="5">
        <f t="shared" si="3"/>
        <v>568965.5172</v>
      </c>
      <c r="H7" s="5">
        <f t="shared" si="4"/>
        <v>3428965.517</v>
      </c>
    </row>
    <row r="8">
      <c r="A8" s="5">
        <f t="shared" si="1"/>
        <v>5</v>
      </c>
      <c r="B8" s="5" t="s">
        <v>55</v>
      </c>
      <c r="C8" s="5" t="s">
        <v>37</v>
      </c>
      <c r="D8" s="6">
        <v>100000.0</v>
      </c>
      <c r="E8" s="5">
        <v>25.0</v>
      </c>
      <c r="F8" s="5">
        <f t="shared" si="2"/>
        <v>2600000</v>
      </c>
      <c r="G8" s="5">
        <f t="shared" si="3"/>
        <v>568965.5172</v>
      </c>
      <c r="H8" s="5">
        <f t="shared" si="4"/>
        <v>3168965.517</v>
      </c>
    </row>
    <row r="9">
      <c r="A9" s="5">
        <f t="shared" si="1"/>
        <v>6</v>
      </c>
      <c r="B9" s="5" t="s">
        <v>56</v>
      </c>
      <c r="C9" s="5" t="s">
        <v>37</v>
      </c>
      <c r="D9" s="6">
        <v>80000.0</v>
      </c>
      <c r="E9" s="5">
        <v>28.0</v>
      </c>
      <c r="F9" s="5">
        <f t="shared" si="2"/>
        <v>2560000</v>
      </c>
      <c r="G9" s="5">
        <f t="shared" si="3"/>
        <v>637241.3793</v>
      </c>
      <c r="H9" s="5">
        <f t="shared" si="4"/>
        <v>3197241.379</v>
      </c>
    </row>
    <row r="10">
      <c r="A10" s="5">
        <f t="shared" si="1"/>
        <v>7</v>
      </c>
      <c r="B10" s="5" t="s">
        <v>57</v>
      </c>
      <c r="C10" s="5" t="s">
        <v>37</v>
      </c>
      <c r="D10" s="6">
        <v>90000.0</v>
      </c>
      <c r="E10" s="5">
        <v>26.0</v>
      </c>
      <c r="F10" s="5">
        <f t="shared" si="2"/>
        <v>2520000</v>
      </c>
      <c r="G10" s="5">
        <f t="shared" si="3"/>
        <v>591724.1379</v>
      </c>
      <c r="H10" s="5">
        <f t="shared" si="4"/>
        <v>3111724.138</v>
      </c>
    </row>
    <row r="11">
      <c r="A11" s="12" t="s">
        <v>58</v>
      </c>
      <c r="B11" s="7"/>
      <c r="C11" s="7"/>
      <c r="D11" s="8"/>
      <c r="E11" s="5">
        <f t="shared" ref="E11:H11" si="5">SUM(E4:E10)</f>
        <v>174</v>
      </c>
      <c r="F11" s="5">
        <f t="shared" si="5"/>
        <v>21040000</v>
      </c>
      <c r="G11" s="5">
        <f t="shared" si="5"/>
        <v>3960000</v>
      </c>
      <c r="H11" s="5">
        <f t="shared" si="5"/>
        <v>25000000</v>
      </c>
    </row>
    <row r="13">
      <c r="E13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11:D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3" width="6.43"/>
    <col customWidth="1" min="4" max="4" width="8.71"/>
    <col customWidth="1" min="5" max="5" width="12.57"/>
    <col customWidth="1" min="6" max="6" width="8.71"/>
    <col customWidth="1" min="7" max="7" width="11.71"/>
    <col customWidth="1" min="8" max="26" width="8.71"/>
  </cols>
  <sheetData>
    <row r="1">
      <c r="A1" s="16" t="s">
        <v>59</v>
      </c>
    </row>
    <row r="2">
      <c r="A2" s="17" t="s">
        <v>60</v>
      </c>
      <c r="B2" s="3"/>
      <c r="C2" s="3"/>
      <c r="D2" s="3"/>
      <c r="E2" s="3"/>
      <c r="F2" s="3"/>
      <c r="G2" s="3"/>
      <c r="H2" s="3"/>
    </row>
    <row r="3">
      <c r="A3" s="18" t="s">
        <v>61</v>
      </c>
      <c r="B3" s="18" t="s">
        <v>21</v>
      </c>
      <c r="C3" s="19" t="s">
        <v>62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67</v>
      </c>
    </row>
    <row r="4">
      <c r="A4" s="20">
        <f t="shared" ref="A4:A13" si="1">ROW()-3</f>
        <v>1</v>
      </c>
      <c r="B4" s="20" t="s">
        <v>68</v>
      </c>
      <c r="C4" s="20">
        <v>4.0</v>
      </c>
      <c r="D4" s="20">
        <v>8.0</v>
      </c>
      <c r="E4" s="21">
        <f t="shared" ref="E4:E13" si="2">(C4*2+D4)/3</f>
        <v>5.333333333</v>
      </c>
      <c r="F4" s="20" t="str">
        <f t="shared" ref="F4:F13" si="3">IF(OR(E4&lt;5,C4&lt;3,D4&lt;3),"Rớt","Đậu")</f>
        <v>Đậu</v>
      </c>
      <c r="G4" s="20" t="str">
        <f t="shared" ref="G4:G13" si="4">IF(E4&lt;5,"Kém",IF(E4&lt;7,"Trung bình",IF(E4&lt;8,"Khá","Giỏi")))</f>
        <v>Trung bình</v>
      </c>
      <c r="H4" s="20">
        <f t="shared" ref="H4:H13" si="5">RANK(E4,$E$4:$E$13)</f>
        <v>8</v>
      </c>
    </row>
    <row r="5">
      <c r="A5" s="20">
        <f t="shared" si="1"/>
        <v>2</v>
      </c>
      <c r="B5" s="20" t="s">
        <v>69</v>
      </c>
      <c r="C5" s="20">
        <v>7.0</v>
      </c>
      <c r="D5" s="20">
        <v>7.0</v>
      </c>
      <c r="E5" s="22">
        <f t="shared" si="2"/>
        <v>7</v>
      </c>
      <c r="F5" s="20" t="str">
        <f t="shared" si="3"/>
        <v>Đậu</v>
      </c>
      <c r="G5" s="20" t="str">
        <f t="shared" si="4"/>
        <v>Khá</v>
      </c>
      <c r="H5" s="20">
        <f t="shared" si="5"/>
        <v>5</v>
      </c>
    </row>
    <row r="6">
      <c r="A6" s="20">
        <f t="shared" si="1"/>
        <v>3</v>
      </c>
      <c r="B6" s="20" t="s">
        <v>70</v>
      </c>
      <c r="C6" s="20">
        <v>7.0</v>
      </c>
      <c r="D6" s="20">
        <v>2.0</v>
      </c>
      <c r="E6" s="21">
        <f t="shared" si="2"/>
        <v>5.333333333</v>
      </c>
      <c r="F6" s="20" t="str">
        <f t="shared" si="3"/>
        <v>Rớt</v>
      </c>
      <c r="G6" s="20" t="str">
        <f t="shared" si="4"/>
        <v>Trung bình</v>
      </c>
      <c r="H6" s="20">
        <f t="shared" si="5"/>
        <v>8</v>
      </c>
    </row>
    <row r="7">
      <c r="A7" s="20">
        <f t="shared" si="1"/>
        <v>4</v>
      </c>
      <c r="B7" s="20" t="s">
        <v>71</v>
      </c>
      <c r="C7" s="20">
        <v>6.0</v>
      </c>
      <c r="D7" s="20">
        <v>5.0</v>
      </c>
      <c r="E7" s="21">
        <f t="shared" si="2"/>
        <v>5.666666667</v>
      </c>
      <c r="F7" s="20" t="str">
        <f t="shared" si="3"/>
        <v>Đậu</v>
      </c>
      <c r="G7" s="20" t="str">
        <f t="shared" si="4"/>
        <v>Trung bình</v>
      </c>
      <c r="H7" s="20">
        <f t="shared" si="5"/>
        <v>7</v>
      </c>
    </row>
    <row r="8">
      <c r="A8" s="20">
        <f t="shared" si="1"/>
        <v>5</v>
      </c>
      <c r="B8" s="20" t="s">
        <v>72</v>
      </c>
      <c r="C8" s="20">
        <v>5.0</v>
      </c>
      <c r="D8" s="20">
        <v>4.0</v>
      </c>
      <c r="E8" s="21">
        <f t="shared" si="2"/>
        <v>4.666666667</v>
      </c>
      <c r="F8" s="20" t="str">
        <f t="shared" si="3"/>
        <v>Rớt</v>
      </c>
      <c r="G8" s="20" t="str">
        <f t="shared" si="4"/>
        <v>Kém</v>
      </c>
      <c r="H8" s="20">
        <f t="shared" si="5"/>
        <v>10</v>
      </c>
    </row>
    <row r="9">
      <c r="A9" s="20">
        <f t="shared" si="1"/>
        <v>6</v>
      </c>
      <c r="B9" s="20" t="s">
        <v>73</v>
      </c>
      <c r="C9" s="20">
        <v>9.0</v>
      </c>
      <c r="D9" s="20">
        <v>10.0</v>
      </c>
      <c r="E9" s="21">
        <f t="shared" si="2"/>
        <v>9.333333333</v>
      </c>
      <c r="F9" s="20" t="str">
        <f t="shared" si="3"/>
        <v>Đậu</v>
      </c>
      <c r="G9" s="20" t="str">
        <f t="shared" si="4"/>
        <v>Giỏi</v>
      </c>
      <c r="H9" s="20">
        <f t="shared" si="5"/>
        <v>1</v>
      </c>
    </row>
    <row r="10">
      <c r="A10" s="20">
        <f t="shared" si="1"/>
        <v>7</v>
      </c>
      <c r="B10" s="20" t="s">
        <v>74</v>
      </c>
      <c r="C10" s="20">
        <v>6.0</v>
      </c>
      <c r="D10" s="20">
        <v>6.0</v>
      </c>
      <c r="E10" s="22">
        <f t="shared" si="2"/>
        <v>6</v>
      </c>
      <c r="F10" s="20" t="str">
        <f t="shared" si="3"/>
        <v>Đậu</v>
      </c>
      <c r="G10" s="20" t="str">
        <f t="shared" si="4"/>
        <v>Trung bình</v>
      </c>
      <c r="H10" s="20">
        <f t="shared" si="5"/>
        <v>6</v>
      </c>
    </row>
    <row r="11">
      <c r="A11" s="20">
        <f t="shared" si="1"/>
        <v>8</v>
      </c>
      <c r="B11" s="20" t="s">
        <v>75</v>
      </c>
      <c r="C11" s="20">
        <v>8.0</v>
      </c>
      <c r="D11" s="20">
        <v>9.0</v>
      </c>
      <c r="E11" s="21">
        <f t="shared" si="2"/>
        <v>8.333333333</v>
      </c>
      <c r="F11" s="20" t="str">
        <f t="shared" si="3"/>
        <v>Đậu</v>
      </c>
      <c r="G11" s="20" t="str">
        <f t="shared" si="4"/>
        <v>Giỏi</v>
      </c>
      <c r="H11" s="20">
        <f t="shared" si="5"/>
        <v>2</v>
      </c>
    </row>
    <row r="12">
      <c r="A12" s="20">
        <f t="shared" si="1"/>
        <v>9</v>
      </c>
      <c r="B12" s="20" t="s">
        <v>76</v>
      </c>
      <c r="C12" s="20">
        <v>8.0</v>
      </c>
      <c r="D12" s="20">
        <v>7.0</v>
      </c>
      <c r="E12" s="21">
        <f t="shared" si="2"/>
        <v>7.666666667</v>
      </c>
      <c r="F12" s="20" t="str">
        <f t="shared" si="3"/>
        <v>Đậu</v>
      </c>
      <c r="G12" s="20" t="str">
        <f t="shared" si="4"/>
        <v>Khá</v>
      </c>
      <c r="H12" s="20">
        <f t="shared" si="5"/>
        <v>4</v>
      </c>
    </row>
    <row r="13">
      <c r="A13" s="20">
        <f t="shared" si="1"/>
        <v>10</v>
      </c>
      <c r="B13" s="20" t="s">
        <v>40</v>
      </c>
      <c r="C13" s="20">
        <v>9.0</v>
      </c>
      <c r="D13" s="20">
        <v>6.0</v>
      </c>
      <c r="E13" s="22">
        <f t="shared" si="2"/>
        <v>8</v>
      </c>
      <c r="F13" s="20" t="str">
        <f t="shared" si="3"/>
        <v>Đậu</v>
      </c>
      <c r="G13" s="20" t="str">
        <f t="shared" si="4"/>
        <v>Giỏi</v>
      </c>
      <c r="H13" s="20">
        <f t="shared" si="5"/>
        <v>3</v>
      </c>
    </row>
    <row r="14">
      <c r="C14" s="23" t="s">
        <v>77</v>
      </c>
      <c r="E14" s="24">
        <f>AVERAGE(E4:E13)</f>
        <v>6.733333333</v>
      </c>
    </row>
    <row r="15">
      <c r="C15" s="23" t="s">
        <v>78</v>
      </c>
      <c r="E15" s="24">
        <f>MAX(E4:E13)</f>
        <v>9.333333333</v>
      </c>
    </row>
    <row r="16">
      <c r="C16" s="23" t="s">
        <v>79</v>
      </c>
      <c r="E16" s="24">
        <f>MIN(E4:E13)</f>
        <v>4.666666667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14"/>
    <col customWidth="1" min="3" max="3" width="8.71"/>
    <col customWidth="1" min="4" max="5" width="10.71"/>
    <col customWidth="1" min="6" max="6" width="8.71"/>
    <col customWidth="1" min="7" max="7" width="11.0"/>
    <col customWidth="1" min="8" max="8" width="10.57"/>
    <col customWidth="1" min="9" max="9" width="10.29"/>
    <col customWidth="1" min="10" max="26" width="8.71"/>
  </cols>
  <sheetData>
    <row r="1">
      <c r="A1" s="25" t="s">
        <v>80</v>
      </c>
      <c r="B1" s="3"/>
      <c r="C1" s="3"/>
      <c r="D1" s="3"/>
      <c r="E1" s="3"/>
      <c r="F1" s="3"/>
      <c r="G1" s="3"/>
      <c r="H1" s="3"/>
      <c r="I1" s="3"/>
      <c r="J1" s="3"/>
    </row>
    <row r="2">
      <c r="A2" s="26" t="s">
        <v>81</v>
      </c>
      <c r="B2" s="27" t="s">
        <v>82</v>
      </c>
      <c r="C2" s="27" t="s">
        <v>83</v>
      </c>
      <c r="D2" s="26" t="s">
        <v>84</v>
      </c>
      <c r="E2" s="26" t="s">
        <v>85</v>
      </c>
      <c r="F2" s="26" t="s">
        <v>86</v>
      </c>
      <c r="G2" s="27" t="s">
        <v>87</v>
      </c>
      <c r="H2" s="27" t="s">
        <v>88</v>
      </c>
      <c r="I2" s="27" t="s">
        <v>89</v>
      </c>
      <c r="J2" s="27" t="s">
        <v>90</v>
      </c>
    </row>
    <row r="3">
      <c r="A3" s="20">
        <f t="shared" ref="A3:A9" si="1">ROW()-2</f>
        <v>1</v>
      </c>
      <c r="B3" s="20" t="s">
        <v>91</v>
      </c>
      <c r="C3" s="20" t="s">
        <v>92</v>
      </c>
      <c r="D3" s="28">
        <v>40360.0</v>
      </c>
      <c r="E3" s="28">
        <v>40388.0</v>
      </c>
      <c r="F3" s="22">
        <f t="shared" ref="F3:F9" si="2">INT((E3-D3)/7)</f>
        <v>4</v>
      </c>
      <c r="G3" s="20">
        <f t="shared" ref="G3:G9" si="3">MOD(E3-D3,7)</f>
        <v>0</v>
      </c>
      <c r="H3" s="20">
        <f t="shared" ref="H3:H9" si="4">VLOOKUP(C3,$A$13:$C$15,2)*F3</f>
        <v>380</v>
      </c>
      <c r="I3" s="20">
        <f t="shared" ref="I3:I9" si="5">VLOOKUP(C3,$A$13:$C$15,3)*G3</f>
        <v>0</v>
      </c>
      <c r="J3" s="20">
        <f t="shared" ref="J3:J9" si="6">H3+I3</f>
        <v>380</v>
      </c>
    </row>
    <row r="4">
      <c r="A4" s="20">
        <f t="shared" si="1"/>
        <v>2</v>
      </c>
      <c r="B4" s="20" t="s">
        <v>93</v>
      </c>
      <c r="C4" s="20" t="s">
        <v>94</v>
      </c>
      <c r="D4" s="28">
        <v>40361.0</v>
      </c>
      <c r="E4" s="28">
        <v>40378.0</v>
      </c>
      <c r="F4" s="22">
        <f t="shared" si="2"/>
        <v>2</v>
      </c>
      <c r="G4" s="20">
        <f t="shared" si="3"/>
        <v>3</v>
      </c>
      <c r="H4" s="20">
        <f t="shared" si="4"/>
        <v>260</v>
      </c>
      <c r="I4" s="20">
        <f t="shared" si="5"/>
        <v>60</v>
      </c>
      <c r="J4" s="20">
        <f t="shared" si="6"/>
        <v>320</v>
      </c>
    </row>
    <row r="5">
      <c r="A5" s="20">
        <f t="shared" si="1"/>
        <v>3</v>
      </c>
      <c r="B5" s="20" t="s">
        <v>95</v>
      </c>
      <c r="C5" s="20" t="s">
        <v>94</v>
      </c>
      <c r="D5" s="28">
        <v>40364.0</v>
      </c>
      <c r="E5" s="28">
        <v>40372.0</v>
      </c>
      <c r="F5" s="22">
        <f t="shared" si="2"/>
        <v>1</v>
      </c>
      <c r="G5" s="20">
        <f t="shared" si="3"/>
        <v>1</v>
      </c>
      <c r="H5" s="20">
        <f t="shared" si="4"/>
        <v>130</v>
      </c>
      <c r="I5" s="20">
        <f t="shared" si="5"/>
        <v>20</v>
      </c>
      <c r="J5" s="20">
        <f t="shared" si="6"/>
        <v>150</v>
      </c>
    </row>
    <row r="6">
      <c r="A6" s="20">
        <f t="shared" si="1"/>
        <v>4</v>
      </c>
      <c r="B6" s="20" t="s">
        <v>96</v>
      </c>
      <c r="C6" s="20" t="s">
        <v>97</v>
      </c>
      <c r="D6" s="28">
        <v>40366.0</v>
      </c>
      <c r="E6" s="28">
        <v>40384.0</v>
      </c>
      <c r="F6" s="22">
        <f t="shared" si="2"/>
        <v>2</v>
      </c>
      <c r="G6" s="20">
        <f t="shared" si="3"/>
        <v>4</v>
      </c>
      <c r="H6" s="20">
        <f t="shared" si="4"/>
        <v>130</v>
      </c>
      <c r="I6" s="20">
        <f t="shared" si="5"/>
        <v>40</v>
      </c>
      <c r="J6" s="20">
        <f t="shared" si="6"/>
        <v>170</v>
      </c>
    </row>
    <row r="7">
      <c r="A7" s="20">
        <f t="shared" si="1"/>
        <v>5</v>
      </c>
      <c r="B7" s="20" t="s">
        <v>98</v>
      </c>
      <c r="C7" s="20" t="s">
        <v>92</v>
      </c>
      <c r="D7" s="28">
        <v>40367.0</v>
      </c>
      <c r="E7" s="28">
        <v>40379.0</v>
      </c>
      <c r="F7" s="22">
        <f t="shared" si="2"/>
        <v>1</v>
      </c>
      <c r="G7" s="20">
        <f t="shared" si="3"/>
        <v>5</v>
      </c>
      <c r="H7" s="20">
        <f t="shared" si="4"/>
        <v>95</v>
      </c>
      <c r="I7" s="20">
        <f t="shared" si="5"/>
        <v>75</v>
      </c>
      <c r="J7" s="20">
        <f t="shared" si="6"/>
        <v>170</v>
      </c>
    </row>
    <row r="8">
      <c r="A8" s="20">
        <f t="shared" si="1"/>
        <v>6</v>
      </c>
      <c r="B8" s="20" t="s">
        <v>99</v>
      </c>
      <c r="C8" s="20" t="s">
        <v>97</v>
      </c>
      <c r="D8" s="28">
        <v>40368.0</v>
      </c>
      <c r="E8" s="28">
        <v>40380.0</v>
      </c>
      <c r="F8" s="22">
        <f t="shared" si="2"/>
        <v>1</v>
      </c>
      <c r="G8" s="20">
        <f t="shared" si="3"/>
        <v>5</v>
      </c>
      <c r="H8" s="20">
        <f t="shared" si="4"/>
        <v>65</v>
      </c>
      <c r="I8" s="20">
        <f t="shared" si="5"/>
        <v>50</v>
      </c>
      <c r="J8" s="20">
        <f t="shared" si="6"/>
        <v>115</v>
      </c>
    </row>
    <row r="9">
      <c r="A9" s="20">
        <f t="shared" si="1"/>
        <v>7</v>
      </c>
      <c r="B9" s="20" t="s">
        <v>100</v>
      </c>
      <c r="C9" s="20" t="s">
        <v>92</v>
      </c>
      <c r="D9" s="28">
        <v>40369.0</v>
      </c>
      <c r="E9" s="28">
        <v>40384.0</v>
      </c>
      <c r="F9" s="22">
        <f t="shared" si="2"/>
        <v>2</v>
      </c>
      <c r="G9" s="20">
        <f t="shared" si="3"/>
        <v>1</v>
      </c>
      <c r="H9" s="20">
        <f t="shared" si="4"/>
        <v>190</v>
      </c>
      <c r="I9" s="20">
        <f t="shared" si="5"/>
        <v>15</v>
      </c>
      <c r="J9" s="20">
        <f t="shared" si="6"/>
        <v>205</v>
      </c>
    </row>
    <row r="11">
      <c r="A11" s="23" t="s">
        <v>101</v>
      </c>
    </row>
    <row r="12">
      <c r="A12" s="27" t="s">
        <v>83</v>
      </c>
      <c r="B12" s="27" t="s">
        <v>102</v>
      </c>
      <c r="C12" s="27" t="s">
        <v>103</v>
      </c>
    </row>
    <row r="13">
      <c r="A13" s="20" t="s">
        <v>94</v>
      </c>
      <c r="B13" s="20">
        <v>130.0</v>
      </c>
      <c r="C13" s="20">
        <v>20.0</v>
      </c>
    </row>
    <row r="14">
      <c r="A14" s="20" t="s">
        <v>92</v>
      </c>
      <c r="B14" s="20">
        <v>95.0</v>
      </c>
      <c r="C14" s="20">
        <v>15.0</v>
      </c>
    </row>
    <row r="15">
      <c r="A15" s="20" t="s">
        <v>97</v>
      </c>
      <c r="B15" s="20">
        <v>65.0</v>
      </c>
      <c r="C15" s="20">
        <v>10.0</v>
      </c>
    </row>
    <row r="17">
      <c r="A17" s="26" t="s">
        <v>104</v>
      </c>
      <c r="B17" s="26" t="s">
        <v>94</v>
      </c>
      <c r="C17" s="26" t="s">
        <v>92</v>
      </c>
      <c r="D17" s="26" t="s">
        <v>97</v>
      </c>
    </row>
    <row r="18">
      <c r="A18" s="20" t="s">
        <v>105</v>
      </c>
      <c r="B18" s="20">
        <f>SUMIF(C3:C9,"A",J3:J9)</f>
        <v>470</v>
      </c>
      <c r="C18" s="20">
        <f>SUMIF(C3:C9,"B",J3:J9)</f>
        <v>755</v>
      </c>
      <c r="D18" s="20">
        <f>SUMIF(C3:C9,"C",J3:J9)</f>
        <v>285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6.86"/>
    <col customWidth="1" min="3" max="4" width="8.71"/>
    <col customWidth="1" min="5" max="5" width="12.0"/>
    <col customWidth="1" min="6" max="7" width="8.71"/>
    <col customWidth="1" min="8" max="8" width="9.71"/>
    <col customWidth="1" min="9" max="26" width="8.71"/>
  </cols>
  <sheetData>
    <row r="1" ht="33.75" customHeight="1">
      <c r="A1" s="29" t="s">
        <v>106</v>
      </c>
    </row>
    <row r="2">
      <c r="A2" s="30" t="s">
        <v>1</v>
      </c>
      <c r="B2" s="30" t="s">
        <v>107</v>
      </c>
      <c r="C2" s="30" t="s">
        <v>108</v>
      </c>
      <c r="D2" s="30" t="s">
        <v>109</v>
      </c>
      <c r="E2" s="31" t="s">
        <v>110</v>
      </c>
      <c r="F2" s="30" t="s">
        <v>111</v>
      </c>
      <c r="G2" s="30" t="s">
        <v>112</v>
      </c>
      <c r="H2" s="31" t="s">
        <v>113</v>
      </c>
      <c r="I2" s="32"/>
    </row>
    <row r="3">
      <c r="A3" s="20">
        <f t="shared" ref="A3:A14" si="1">ROW()-2</f>
        <v>1</v>
      </c>
      <c r="B3" s="20" t="s">
        <v>114</v>
      </c>
      <c r="C3" s="20" t="s">
        <v>115</v>
      </c>
      <c r="D3" s="20" t="s">
        <v>116</v>
      </c>
      <c r="E3" s="20" t="str">
        <f t="shared" ref="E3:E14" si="2">VLOOKUP(LEFT(D3,2),$A$18:$E$20,2,0)</f>
        <v>ĐÀ LẠT</v>
      </c>
      <c r="F3" s="20">
        <f t="shared" ref="F3:F14" si="3">VLOOKUP(LEFT(D3,2),$A$18:$E$20,3,0)</f>
        <v>250000</v>
      </c>
      <c r="G3" s="20">
        <f t="shared" ref="G3:G14" si="4">VLOOKUP(LEFT(D3,2),$A$18:$E$20,IF(RIGHT(D3,1)="A",4,5),0)</f>
        <v>550000</v>
      </c>
      <c r="H3" s="20">
        <f t="shared" ref="H3:H14" si="5">F3+G3</f>
        <v>800000</v>
      </c>
    </row>
    <row r="4">
      <c r="A4" s="20">
        <f t="shared" si="1"/>
        <v>2</v>
      </c>
      <c r="B4" s="20" t="s">
        <v>117</v>
      </c>
      <c r="C4" s="20" t="s">
        <v>118</v>
      </c>
      <c r="D4" s="20" t="s">
        <v>119</v>
      </c>
      <c r="E4" s="20" t="str">
        <f t="shared" si="2"/>
        <v>ĐÀ LẠT</v>
      </c>
      <c r="F4" s="20">
        <f t="shared" si="3"/>
        <v>250000</v>
      </c>
      <c r="G4" s="20">
        <f t="shared" si="4"/>
        <v>600000</v>
      </c>
      <c r="H4" s="20">
        <f t="shared" si="5"/>
        <v>850000</v>
      </c>
    </row>
    <row r="5">
      <c r="A5" s="20">
        <f t="shared" si="1"/>
        <v>3</v>
      </c>
      <c r="B5" s="20" t="s">
        <v>120</v>
      </c>
      <c r="C5" s="20" t="s">
        <v>121</v>
      </c>
      <c r="D5" s="20" t="s">
        <v>116</v>
      </c>
      <c r="E5" s="20" t="str">
        <f t="shared" si="2"/>
        <v>ĐÀ LẠT</v>
      </c>
      <c r="F5" s="20">
        <f t="shared" si="3"/>
        <v>250000</v>
      </c>
      <c r="G5" s="20">
        <f t="shared" si="4"/>
        <v>550000</v>
      </c>
      <c r="H5" s="20">
        <f t="shared" si="5"/>
        <v>800000</v>
      </c>
    </row>
    <row r="6">
      <c r="A6" s="20">
        <f t="shared" si="1"/>
        <v>4</v>
      </c>
      <c r="B6" s="20" t="s">
        <v>122</v>
      </c>
      <c r="C6" s="20" t="s">
        <v>123</v>
      </c>
      <c r="D6" s="20" t="s">
        <v>116</v>
      </c>
      <c r="E6" s="20" t="str">
        <f t="shared" si="2"/>
        <v>ĐÀ LẠT</v>
      </c>
      <c r="F6" s="20">
        <f t="shared" si="3"/>
        <v>250000</v>
      </c>
      <c r="G6" s="20">
        <f t="shared" si="4"/>
        <v>550000</v>
      </c>
      <c r="H6" s="20">
        <f t="shared" si="5"/>
        <v>800000</v>
      </c>
    </row>
    <row r="7">
      <c r="A7" s="20">
        <f t="shared" si="1"/>
        <v>5</v>
      </c>
      <c r="B7" s="20" t="s">
        <v>124</v>
      </c>
      <c r="C7" s="20" t="s">
        <v>125</v>
      </c>
      <c r="D7" s="20" t="s">
        <v>126</v>
      </c>
      <c r="E7" s="20" t="str">
        <f t="shared" si="2"/>
        <v>NHA TRANG</v>
      </c>
      <c r="F7" s="20">
        <f t="shared" si="3"/>
        <v>300000</v>
      </c>
      <c r="G7" s="20">
        <f t="shared" si="4"/>
        <v>650000</v>
      </c>
      <c r="H7" s="20">
        <f t="shared" si="5"/>
        <v>950000</v>
      </c>
    </row>
    <row r="8">
      <c r="A8" s="20">
        <f t="shared" si="1"/>
        <v>6</v>
      </c>
      <c r="B8" s="20" t="s">
        <v>127</v>
      </c>
      <c r="C8" s="20" t="s">
        <v>128</v>
      </c>
      <c r="D8" s="20" t="s">
        <v>126</v>
      </c>
      <c r="E8" s="20" t="str">
        <f t="shared" si="2"/>
        <v>NHA TRANG</v>
      </c>
      <c r="F8" s="20">
        <f t="shared" si="3"/>
        <v>300000</v>
      </c>
      <c r="G8" s="20">
        <f t="shared" si="4"/>
        <v>650000</v>
      </c>
      <c r="H8" s="20">
        <f t="shared" si="5"/>
        <v>950000</v>
      </c>
    </row>
    <row r="9">
      <c r="A9" s="20">
        <f t="shared" si="1"/>
        <v>7</v>
      </c>
      <c r="B9" s="20" t="s">
        <v>129</v>
      </c>
      <c r="C9" s="20" t="s">
        <v>130</v>
      </c>
      <c r="D9" s="20" t="s">
        <v>131</v>
      </c>
      <c r="E9" s="20" t="str">
        <f t="shared" si="2"/>
        <v>NHA TRANG</v>
      </c>
      <c r="F9" s="20">
        <f t="shared" si="3"/>
        <v>300000</v>
      </c>
      <c r="G9" s="20">
        <f t="shared" si="4"/>
        <v>700000</v>
      </c>
      <c r="H9" s="20">
        <f t="shared" si="5"/>
        <v>1000000</v>
      </c>
    </row>
    <row r="10">
      <c r="A10" s="20">
        <f t="shared" si="1"/>
        <v>8</v>
      </c>
      <c r="B10" s="20" t="s">
        <v>122</v>
      </c>
      <c r="C10" s="20" t="s">
        <v>132</v>
      </c>
      <c r="D10" s="20" t="s">
        <v>133</v>
      </c>
      <c r="E10" s="20" t="str">
        <f t="shared" si="2"/>
        <v>VŨNG TÀU</v>
      </c>
      <c r="F10" s="20">
        <f t="shared" si="3"/>
        <v>100000</v>
      </c>
      <c r="G10" s="20">
        <f t="shared" si="4"/>
        <v>500000</v>
      </c>
      <c r="H10" s="20">
        <f t="shared" si="5"/>
        <v>600000</v>
      </c>
    </row>
    <row r="11">
      <c r="A11" s="20">
        <f t="shared" si="1"/>
        <v>9</v>
      </c>
      <c r="B11" s="20" t="s">
        <v>134</v>
      </c>
      <c r="C11" s="20" t="s">
        <v>135</v>
      </c>
      <c r="D11" s="20" t="s">
        <v>136</v>
      </c>
      <c r="E11" s="20" t="str">
        <f t="shared" si="2"/>
        <v>VŨNG TÀU</v>
      </c>
      <c r="F11" s="20">
        <f t="shared" si="3"/>
        <v>100000</v>
      </c>
      <c r="G11" s="20">
        <f t="shared" si="4"/>
        <v>450000</v>
      </c>
      <c r="H11" s="20">
        <f t="shared" si="5"/>
        <v>550000</v>
      </c>
    </row>
    <row r="12">
      <c r="A12" s="20">
        <f t="shared" si="1"/>
        <v>10</v>
      </c>
      <c r="B12" s="20" t="s">
        <v>137</v>
      </c>
      <c r="C12" s="20" t="s">
        <v>138</v>
      </c>
      <c r="D12" s="20" t="s">
        <v>133</v>
      </c>
      <c r="E12" s="20" t="str">
        <f t="shared" si="2"/>
        <v>VŨNG TÀU</v>
      </c>
      <c r="F12" s="20">
        <f t="shared" si="3"/>
        <v>100000</v>
      </c>
      <c r="G12" s="20">
        <f t="shared" si="4"/>
        <v>500000</v>
      </c>
      <c r="H12" s="20">
        <f t="shared" si="5"/>
        <v>600000</v>
      </c>
    </row>
    <row r="13">
      <c r="A13" s="20">
        <f t="shared" si="1"/>
        <v>11</v>
      </c>
      <c r="B13" s="20" t="s">
        <v>139</v>
      </c>
      <c r="C13" s="20" t="s">
        <v>140</v>
      </c>
      <c r="D13" s="20" t="s">
        <v>136</v>
      </c>
      <c r="E13" s="20" t="str">
        <f t="shared" si="2"/>
        <v>VŨNG TÀU</v>
      </c>
      <c r="F13" s="20">
        <f t="shared" si="3"/>
        <v>100000</v>
      </c>
      <c r="G13" s="20">
        <f t="shared" si="4"/>
        <v>450000</v>
      </c>
      <c r="H13" s="20">
        <f t="shared" si="5"/>
        <v>550000</v>
      </c>
    </row>
    <row r="14">
      <c r="A14" s="20">
        <f t="shared" si="1"/>
        <v>12</v>
      </c>
      <c r="B14" s="20" t="s">
        <v>141</v>
      </c>
      <c r="C14" s="20" t="s">
        <v>142</v>
      </c>
      <c r="D14" s="20" t="s">
        <v>133</v>
      </c>
      <c r="E14" s="20" t="str">
        <f t="shared" si="2"/>
        <v>VŨNG TÀU</v>
      </c>
      <c r="F14" s="20">
        <f t="shared" si="3"/>
        <v>100000</v>
      </c>
      <c r="G14" s="20">
        <f t="shared" si="4"/>
        <v>500000</v>
      </c>
      <c r="H14" s="20">
        <f t="shared" si="5"/>
        <v>600000</v>
      </c>
    </row>
    <row r="16">
      <c r="A16" s="23" t="s">
        <v>143</v>
      </c>
    </row>
    <row r="17">
      <c r="A17" s="33" t="s">
        <v>144</v>
      </c>
      <c r="B17" s="33" t="s">
        <v>145</v>
      </c>
      <c r="C17" s="33" t="s">
        <v>111</v>
      </c>
      <c r="D17" s="33" t="s">
        <v>146</v>
      </c>
      <c r="E17" s="33" t="s">
        <v>147</v>
      </c>
    </row>
    <row r="18">
      <c r="A18" s="20" t="s">
        <v>148</v>
      </c>
      <c r="B18" s="20" t="s">
        <v>149</v>
      </c>
      <c r="C18" s="20">
        <v>100000.0</v>
      </c>
      <c r="D18" s="20">
        <v>500000.0</v>
      </c>
      <c r="E18" s="20">
        <v>450000.0</v>
      </c>
    </row>
    <row r="19">
      <c r="A19" s="20" t="s">
        <v>150</v>
      </c>
      <c r="B19" s="20" t="s">
        <v>151</v>
      </c>
      <c r="C19" s="20">
        <v>300000.0</v>
      </c>
      <c r="D19" s="20">
        <v>700000.0</v>
      </c>
      <c r="E19" s="20">
        <v>650000.0</v>
      </c>
    </row>
    <row r="20">
      <c r="A20" s="20" t="s">
        <v>152</v>
      </c>
      <c r="B20" s="20" t="s">
        <v>153</v>
      </c>
      <c r="C20" s="20">
        <v>250000.0</v>
      </c>
      <c r="D20" s="20">
        <v>600000.0</v>
      </c>
      <c r="E20" s="20">
        <v>550000.0</v>
      </c>
    </row>
    <row r="21" ht="15.75" customHeight="1"/>
    <row r="22" ht="15.75" customHeight="1">
      <c r="A22" s="33" t="s">
        <v>144</v>
      </c>
      <c r="B22" s="33" t="s">
        <v>148</v>
      </c>
      <c r="C22" s="33" t="s">
        <v>150</v>
      </c>
      <c r="D22" s="33" t="s">
        <v>152</v>
      </c>
    </row>
    <row r="23" ht="15.75" customHeight="1">
      <c r="A23" s="20" t="s">
        <v>105</v>
      </c>
      <c r="B23" s="20">
        <f>SUMIF($E$3:$E$14,"VŨNG TÀU",$H$3:$H$14)</f>
        <v>2900000</v>
      </c>
      <c r="C23" s="20">
        <f>SUMIF($E$3:$E$14,"NHA TRANG",$H$3:$H$14)</f>
        <v>2900000</v>
      </c>
      <c r="D23" s="20">
        <f>SUMIF($E$3:$E$14,"ĐÀ LẠT",$H$3:$H$14)</f>
        <v>3250000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71"/>
    <col customWidth="1" min="3" max="3" width="10.0"/>
    <col customWidth="1" min="4" max="4" width="10.71"/>
    <col customWidth="1" min="5" max="5" width="8.71"/>
    <col customWidth="1" min="6" max="6" width="10.14"/>
    <col customWidth="1" min="7" max="8" width="8.71"/>
    <col customWidth="1" min="9" max="9" width="9.43"/>
    <col customWidth="1" min="10" max="26" width="8.71"/>
  </cols>
  <sheetData>
    <row r="1">
      <c r="A1" s="34" t="s">
        <v>61</v>
      </c>
      <c r="B1" s="35" t="s">
        <v>154</v>
      </c>
      <c r="C1" s="35" t="s">
        <v>155</v>
      </c>
      <c r="D1" s="35" t="s">
        <v>156</v>
      </c>
      <c r="E1" s="35" t="s">
        <v>157</v>
      </c>
      <c r="F1" s="35" t="s">
        <v>158</v>
      </c>
      <c r="G1" s="35" t="s">
        <v>159</v>
      </c>
      <c r="H1" s="35" t="s">
        <v>160</v>
      </c>
      <c r="I1" s="35" t="s">
        <v>161</v>
      </c>
    </row>
    <row r="2">
      <c r="A2" s="20">
        <f t="shared" ref="A2:A9" si="1">ROW()-1</f>
        <v>1</v>
      </c>
      <c r="B2" s="20" t="s">
        <v>162</v>
      </c>
      <c r="C2" s="20" t="str">
        <f t="shared" ref="C2:C9" si="2">HLOOKUP(B2,$G$13:$I$15,2,0)</f>
        <v>MÁY GIẶT</v>
      </c>
      <c r="D2" s="36">
        <v>39759.0</v>
      </c>
      <c r="E2" s="20">
        <v>5.0</v>
      </c>
      <c r="F2" s="20">
        <f t="shared" ref="F2:F9" si="3">HLOOKUP(B2,$A$13:$D$16,IF(MONTH(D2)=10,2,IF(MONTH(D2)=11,3,4)),0)*E2</f>
        <v>1350</v>
      </c>
      <c r="G2" s="20">
        <f t="shared" ref="G2:G9" si="4">HLOOKUP(B2,$G$13:$I$15,3,0)*F2</f>
        <v>135</v>
      </c>
      <c r="H2" s="20">
        <f t="shared" ref="H2:H9" si="5">IF(MONTH(D2)=10,F2*1%,IF(MONTH(D2)=11,F2*2%,F2*3%))</f>
        <v>27</v>
      </c>
      <c r="I2" s="20">
        <f t="shared" ref="I2:I9" si="6">F2-G2-H2</f>
        <v>1188</v>
      </c>
    </row>
    <row r="3">
      <c r="A3" s="20">
        <f t="shared" si="1"/>
        <v>2</v>
      </c>
      <c r="B3" s="20" t="s">
        <v>162</v>
      </c>
      <c r="C3" s="20" t="str">
        <f t="shared" si="2"/>
        <v>MÁY GIẶT</v>
      </c>
      <c r="D3" s="36">
        <v>39749.0</v>
      </c>
      <c r="E3" s="20">
        <v>10.0</v>
      </c>
      <c r="F3" s="20">
        <f t="shared" si="3"/>
        <v>2800</v>
      </c>
      <c r="G3" s="20">
        <f t="shared" si="4"/>
        <v>280</v>
      </c>
      <c r="H3" s="20">
        <f t="shared" si="5"/>
        <v>28</v>
      </c>
      <c r="I3" s="20">
        <f t="shared" si="6"/>
        <v>2492</v>
      </c>
    </row>
    <row r="4">
      <c r="A4" s="20">
        <f t="shared" si="1"/>
        <v>3</v>
      </c>
      <c r="B4" s="20" t="s">
        <v>163</v>
      </c>
      <c r="C4" s="20" t="str">
        <f t="shared" si="2"/>
        <v>TỦ LẠNH</v>
      </c>
      <c r="D4" s="36">
        <v>39766.0</v>
      </c>
      <c r="E4" s="20">
        <v>15.0</v>
      </c>
      <c r="F4" s="20">
        <f t="shared" si="3"/>
        <v>4200</v>
      </c>
      <c r="G4" s="20">
        <f t="shared" si="4"/>
        <v>210</v>
      </c>
      <c r="H4" s="20">
        <f t="shared" si="5"/>
        <v>84</v>
      </c>
      <c r="I4" s="20">
        <f t="shared" si="6"/>
        <v>3906</v>
      </c>
    </row>
    <row r="5">
      <c r="A5" s="20">
        <f t="shared" si="1"/>
        <v>4</v>
      </c>
      <c r="B5" s="20" t="s">
        <v>163</v>
      </c>
      <c r="C5" s="20" t="str">
        <f t="shared" si="2"/>
        <v>TỦ LẠNH</v>
      </c>
      <c r="D5" s="36">
        <v>39731.0</v>
      </c>
      <c r="E5" s="20">
        <v>20.0</v>
      </c>
      <c r="F5" s="20">
        <f t="shared" si="3"/>
        <v>6000</v>
      </c>
      <c r="G5" s="20">
        <f t="shared" si="4"/>
        <v>300</v>
      </c>
      <c r="H5" s="20">
        <f t="shared" si="5"/>
        <v>60</v>
      </c>
      <c r="I5" s="20">
        <f t="shared" si="6"/>
        <v>5640</v>
      </c>
    </row>
    <row r="6">
      <c r="A6" s="20">
        <f t="shared" si="1"/>
        <v>5</v>
      </c>
      <c r="B6" s="20" t="s">
        <v>163</v>
      </c>
      <c r="C6" s="20" t="str">
        <f t="shared" si="2"/>
        <v>TỦ LẠNH</v>
      </c>
      <c r="D6" s="36">
        <v>39803.0</v>
      </c>
      <c r="E6" s="20">
        <v>20.0</v>
      </c>
      <c r="F6" s="20">
        <f t="shared" si="3"/>
        <v>5000</v>
      </c>
      <c r="G6" s="20">
        <f t="shared" si="4"/>
        <v>250</v>
      </c>
      <c r="H6" s="20">
        <f t="shared" si="5"/>
        <v>150</v>
      </c>
      <c r="I6" s="20">
        <f t="shared" si="6"/>
        <v>4600</v>
      </c>
    </row>
    <row r="7">
      <c r="A7" s="20">
        <f t="shared" si="1"/>
        <v>6</v>
      </c>
      <c r="B7" s="20" t="s">
        <v>164</v>
      </c>
      <c r="C7" s="20" t="str">
        <f t="shared" si="2"/>
        <v>TI VI</v>
      </c>
      <c r="D7" s="36">
        <v>39772.0</v>
      </c>
      <c r="E7" s="20">
        <v>20.0</v>
      </c>
      <c r="F7" s="20">
        <f t="shared" si="3"/>
        <v>4800</v>
      </c>
      <c r="G7" s="20">
        <f t="shared" si="4"/>
        <v>0</v>
      </c>
      <c r="H7" s="20">
        <f t="shared" si="5"/>
        <v>96</v>
      </c>
      <c r="I7" s="20">
        <f t="shared" si="6"/>
        <v>4704</v>
      </c>
    </row>
    <row r="8">
      <c r="A8" s="20">
        <f t="shared" si="1"/>
        <v>7</v>
      </c>
      <c r="B8" s="20" t="s">
        <v>164</v>
      </c>
      <c r="C8" s="20" t="str">
        <f t="shared" si="2"/>
        <v>TI VI</v>
      </c>
      <c r="D8" s="36">
        <v>39726.0</v>
      </c>
      <c r="E8" s="20">
        <v>30.0</v>
      </c>
      <c r="F8" s="20">
        <f t="shared" si="3"/>
        <v>7500</v>
      </c>
      <c r="G8" s="20">
        <f t="shared" si="4"/>
        <v>0</v>
      </c>
      <c r="H8" s="20">
        <f t="shared" si="5"/>
        <v>75</v>
      </c>
      <c r="I8" s="20">
        <f t="shared" si="6"/>
        <v>7425</v>
      </c>
    </row>
    <row r="9">
      <c r="A9" s="20">
        <f t="shared" si="1"/>
        <v>8</v>
      </c>
      <c r="B9" s="20" t="s">
        <v>164</v>
      </c>
      <c r="C9" s="20" t="str">
        <f t="shared" si="2"/>
        <v>TI VI</v>
      </c>
      <c r="D9" s="36">
        <v>39784.0</v>
      </c>
      <c r="E9" s="20">
        <v>45.0</v>
      </c>
      <c r="F9" s="20">
        <f t="shared" si="3"/>
        <v>9450</v>
      </c>
      <c r="G9" s="20">
        <f t="shared" si="4"/>
        <v>0</v>
      </c>
      <c r="H9" s="20">
        <f t="shared" si="5"/>
        <v>283.5</v>
      </c>
      <c r="I9" s="20">
        <f t="shared" si="6"/>
        <v>9166.5</v>
      </c>
    </row>
    <row r="10">
      <c r="A10" s="37" t="s">
        <v>165</v>
      </c>
      <c r="B10" s="7"/>
      <c r="C10" s="7"/>
      <c r="D10" s="7"/>
      <c r="E10" s="8"/>
      <c r="F10" s="20">
        <f t="shared" ref="F10:I10" si="7">SUM(F2:F9)</f>
        <v>41100</v>
      </c>
      <c r="G10" s="20">
        <f t="shared" si="7"/>
        <v>1175</v>
      </c>
      <c r="H10" s="20">
        <f t="shared" si="7"/>
        <v>803.5</v>
      </c>
      <c r="I10" s="20">
        <f t="shared" si="7"/>
        <v>39121.5</v>
      </c>
    </row>
    <row r="12">
      <c r="A12" s="23" t="s">
        <v>143</v>
      </c>
      <c r="F12" s="23" t="s">
        <v>166</v>
      </c>
    </row>
    <row r="13">
      <c r="A13" s="20" t="s">
        <v>167</v>
      </c>
      <c r="B13" s="20" t="s">
        <v>164</v>
      </c>
      <c r="C13" s="20" t="s">
        <v>163</v>
      </c>
      <c r="D13" s="20" t="s">
        <v>162</v>
      </c>
      <c r="F13" s="20" t="s">
        <v>168</v>
      </c>
      <c r="G13" s="20" t="s">
        <v>164</v>
      </c>
      <c r="H13" s="20" t="s">
        <v>163</v>
      </c>
      <c r="I13" s="20" t="s">
        <v>162</v>
      </c>
    </row>
    <row r="14">
      <c r="A14" s="36">
        <v>39722.0</v>
      </c>
      <c r="B14" s="20">
        <v>250.0</v>
      </c>
      <c r="C14" s="20">
        <v>300.0</v>
      </c>
      <c r="D14" s="20">
        <v>280.0</v>
      </c>
      <c r="F14" s="20" t="s">
        <v>169</v>
      </c>
      <c r="G14" s="20" t="s">
        <v>170</v>
      </c>
      <c r="H14" s="20" t="s">
        <v>171</v>
      </c>
      <c r="I14" s="20" t="s">
        <v>172</v>
      </c>
    </row>
    <row r="15">
      <c r="A15" s="36">
        <v>39753.0</v>
      </c>
      <c r="B15" s="20">
        <v>240.0</v>
      </c>
      <c r="C15" s="20">
        <v>280.0</v>
      </c>
      <c r="D15" s="20">
        <v>270.0</v>
      </c>
      <c r="F15" s="20" t="s">
        <v>173</v>
      </c>
      <c r="G15" s="38">
        <v>0.0</v>
      </c>
      <c r="H15" s="38">
        <v>0.05</v>
      </c>
      <c r="I15" s="38">
        <v>0.1</v>
      </c>
    </row>
    <row r="16">
      <c r="A16" s="36">
        <v>39783.0</v>
      </c>
      <c r="B16" s="20">
        <v>210.0</v>
      </c>
      <c r="C16" s="20">
        <v>250.0</v>
      </c>
      <c r="D16" s="20">
        <v>230.0</v>
      </c>
    </row>
    <row r="18">
      <c r="A18" s="20" t="s">
        <v>169</v>
      </c>
      <c r="B18" s="20" t="s">
        <v>170</v>
      </c>
      <c r="C18" s="20" t="s">
        <v>171</v>
      </c>
      <c r="D18" s="20" t="s">
        <v>172</v>
      </c>
    </row>
    <row r="19">
      <c r="A19" s="20" t="s">
        <v>174</v>
      </c>
      <c r="B19" s="20">
        <f>SUMIF($C$2:$C$9,"TI VI",$I$2:$I$9)</f>
        <v>21295.5</v>
      </c>
      <c r="C19" s="20">
        <f>SUMIF($C$2:$C$9,"TỦ LẠNH",$I$2:$I$9)</f>
        <v>14146</v>
      </c>
      <c r="D19" s="20">
        <f>SUMIF($C$2:$C$9,"MÁY GIẶT",$I$2:$I$9)</f>
        <v>3680</v>
      </c>
    </row>
    <row r="21" ht="15.75" customHeight="1">
      <c r="A21" s="20"/>
      <c r="B21" s="20" t="s">
        <v>175</v>
      </c>
      <c r="C21" s="20" t="s">
        <v>176</v>
      </c>
      <c r="D21" s="20" t="s">
        <v>177</v>
      </c>
    </row>
    <row r="22" ht="15.75" customHeight="1">
      <c r="A22" s="20" t="s">
        <v>164</v>
      </c>
      <c r="B22" s="20">
        <f>SUMIFS($E$2:$E$9,$C$2:$C$9,"TI VI",$D$2:$D$9,"&lt;01/11/08")</f>
        <v>30</v>
      </c>
      <c r="C22" s="20">
        <f>SUMIFS($E$2:$E$9,$C$2:$C$9,"TI VI",$D$2:$D$9,"&gt;01/11/08",$D$2:$D$9,"&lt;01/12/08")</f>
        <v>20</v>
      </c>
      <c r="D22" s="20">
        <f>SUMIFS($E$2:$E$9,$C$2:$C$9,"TI VI",$D$2:$D$9,"&gt;01/12/08")</f>
        <v>45</v>
      </c>
    </row>
    <row r="23" ht="15.75" customHeight="1">
      <c r="A23" s="20" t="s">
        <v>163</v>
      </c>
      <c r="B23" s="20">
        <f>SUMIFS($E$2:$E$9,$C$2:$C$9,"TỦ LẠNH",$D$2:$D$9,"&lt;01/11/08")</f>
        <v>20</v>
      </c>
      <c r="C23" s="20">
        <f>SUMIFS($E$2:$E$9,$C$2:$C$9,"TỦ LẠNH",$D$2:$D$9,"&gt;01/11/08",$D$2:$D$9,"&lt;01/12/08")</f>
        <v>15</v>
      </c>
      <c r="D23" s="20">
        <f>SUMIFS($E$2:$E$9,$C$2:$C$9,"TỦ LẠNH",$D$2:$D$9,"&gt;01/12/08")</f>
        <v>20</v>
      </c>
    </row>
    <row r="24" ht="15.75" customHeight="1">
      <c r="A24" s="20" t="s">
        <v>162</v>
      </c>
      <c r="B24" s="20">
        <f>SUMIFS($E$2:$E$9,$C$2:$C$9,"MÁY GIẶT",$D$2:$D$9,"&lt;01/11/08")</f>
        <v>10</v>
      </c>
      <c r="C24" s="20">
        <f>SUMIFS($E$2:$E$9,$C$2:$C$9,"MÁY GIẶT",$D$2:$D$9,"&gt;01/11/08",$D$2:$D$9,"&lt;01/12/08")</f>
        <v>5</v>
      </c>
      <c r="D24" s="20">
        <f>SUMIFS($E$2:$E$9,$C$2:$C$9,"MÁY GIẶT",$D$2:$D$9,"&gt;01/12/08")</f>
        <v>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E1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6.29"/>
    <col customWidth="1" min="3" max="3" width="10.57"/>
    <col customWidth="1" min="4" max="4" width="11.86"/>
    <col customWidth="1" min="5" max="5" width="11.43"/>
    <col customWidth="1" min="6" max="6" width="13.14"/>
    <col customWidth="1" min="7" max="7" width="8.29"/>
    <col customWidth="1" min="8" max="26" width="8.71"/>
  </cols>
  <sheetData>
    <row r="1">
      <c r="A1" s="23" t="s">
        <v>178</v>
      </c>
    </row>
    <row r="2">
      <c r="A2" s="25" t="s">
        <v>179</v>
      </c>
      <c r="B2" s="3"/>
      <c r="C2" s="3"/>
      <c r="D2" s="3"/>
      <c r="E2" s="3"/>
      <c r="F2" s="3"/>
      <c r="G2" s="3"/>
      <c r="H2" s="3"/>
      <c r="I2" s="3"/>
    </row>
    <row r="3" ht="30.75" customHeight="1">
      <c r="A3" s="34" t="s">
        <v>1</v>
      </c>
      <c r="B3" s="34" t="s">
        <v>180</v>
      </c>
      <c r="C3" s="35" t="s">
        <v>157</v>
      </c>
      <c r="D3" s="34" t="s">
        <v>181</v>
      </c>
      <c r="E3" s="34" t="s">
        <v>182</v>
      </c>
      <c r="F3" s="35" t="s">
        <v>110</v>
      </c>
      <c r="G3" s="35" t="s">
        <v>183</v>
      </c>
      <c r="H3" s="35" t="s">
        <v>184</v>
      </c>
      <c r="I3" s="35" t="s">
        <v>161</v>
      </c>
    </row>
    <row r="4">
      <c r="A4" s="20">
        <f t="shared" ref="A4:A11" si="1">ROW()-3</f>
        <v>1</v>
      </c>
      <c r="B4" s="20" t="s">
        <v>185</v>
      </c>
      <c r="C4" s="20">
        <v>50.0</v>
      </c>
      <c r="D4" s="20" t="s">
        <v>186</v>
      </c>
      <c r="E4" s="20" t="str">
        <f t="shared" ref="E4:E11" si="2">VLOOKUP(LEFT(D4,1),$A$15:$B$17,2,0)</f>
        <v>HUYNDAI</v>
      </c>
      <c r="F4" s="20" t="str">
        <f t="shared" ref="F4:F11" si="3">HLOOKUP(MID(D4,2,2),$C$20:$E$21,2,0)</f>
        <v>VŨNG TÀU</v>
      </c>
      <c r="G4" s="20">
        <f t="shared" ref="G4:G11" si="4">VLOOKUP(LEFT(D4,1),$A$15:$E$17,IF(MID(D4,2,2)="VT",3,IF(MID(D4,2,2)="NT",4,5)),0)*C4</f>
        <v>2000000</v>
      </c>
      <c r="H4" s="20">
        <f t="shared" ref="H4:H11" si="5">IF(RIGHT(D4,1)="A",0,G4*10%)</f>
        <v>0</v>
      </c>
      <c r="I4" s="20">
        <f t="shared" ref="I4:I11" si="6">G4-H4</f>
        <v>2000000</v>
      </c>
    </row>
    <row r="5">
      <c r="A5" s="20">
        <f t="shared" si="1"/>
        <v>2</v>
      </c>
      <c r="B5" s="20" t="s">
        <v>187</v>
      </c>
      <c r="C5" s="20">
        <v>50.0</v>
      </c>
      <c r="D5" s="20" t="s">
        <v>188</v>
      </c>
      <c r="E5" s="20" t="str">
        <f t="shared" si="2"/>
        <v>HUYNDAI</v>
      </c>
      <c r="F5" s="20" t="str">
        <f t="shared" si="3"/>
        <v>NHA TRANG</v>
      </c>
      <c r="G5" s="20">
        <f t="shared" si="4"/>
        <v>3500000</v>
      </c>
      <c r="H5" s="20">
        <f t="shared" si="5"/>
        <v>350000</v>
      </c>
      <c r="I5" s="20">
        <f t="shared" si="6"/>
        <v>3150000</v>
      </c>
    </row>
    <row r="6">
      <c r="A6" s="20">
        <f t="shared" si="1"/>
        <v>3</v>
      </c>
      <c r="B6" s="20" t="s">
        <v>189</v>
      </c>
      <c r="C6" s="20">
        <v>10.0</v>
      </c>
      <c r="D6" s="20" t="s">
        <v>190</v>
      </c>
      <c r="E6" s="20" t="str">
        <f t="shared" si="2"/>
        <v>MERCEDES</v>
      </c>
      <c r="F6" s="20" t="str">
        <f t="shared" si="3"/>
        <v>NHA TRANG</v>
      </c>
      <c r="G6" s="20">
        <f t="shared" si="4"/>
        <v>900000</v>
      </c>
      <c r="H6" s="20">
        <f t="shared" si="5"/>
        <v>90000</v>
      </c>
      <c r="I6" s="20">
        <f t="shared" si="6"/>
        <v>810000</v>
      </c>
    </row>
    <row r="7">
      <c r="A7" s="20">
        <f t="shared" si="1"/>
        <v>4</v>
      </c>
      <c r="B7" s="20" t="s">
        <v>191</v>
      </c>
      <c r="C7" s="20">
        <v>20.0</v>
      </c>
      <c r="D7" s="20" t="s">
        <v>192</v>
      </c>
      <c r="E7" s="20" t="str">
        <f t="shared" si="2"/>
        <v>MERCEDES</v>
      </c>
      <c r="F7" s="20" t="str">
        <f t="shared" si="3"/>
        <v>ĐÀ LẠT</v>
      </c>
      <c r="G7" s="20">
        <f t="shared" si="4"/>
        <v>2200000</v>
      </c>
      <c r="H7" s="20">
        <f t="shared" si="5"/>
        <v>220000</v>
      </c>
      <c r="I7" s="20">
        <f t="shared" si="6"/>
        <v>1980000</v>
      </c>
    </row>
    <row r="8">
      <c r="A8" s="20">
        <f t="shared" si="1"/>
        <v>5</v>
      </c>
      <c r="B8" s="20" t="s">
        <v>193</v>
      </c>
      <c r="C8" s="20">
        <v>60.0</v>
      </c>
      <c r="D8" s="20" t="s">
        <v>194</v>
      </c>
      <c r="E8" s="20" t="str">
        <f t="shared" si="2"/>
        <v>MERCEDES</v>
      </c>
      <c r="F8" s="20" t="str">
        <f t="shared" si="3"/>
        <v>VŨNG TÀU</v>
      </c>
      <c r="G8" s="20">
        <f t="shared" si="4"/>
        <v>3600000</v>
      </c>
      <c r="H8" s="20">
        <f t="shared" si="5"/>
        <v>0</v>
      </c>
      <c r="I8" s="20">
        <f t="shared" si="6"/>
        <v>3600000</v>
      </c>
    </row>
    <row r="9">
      <c r="A9" s="20">
        <f t="shared" si="1"/>
        <v>6</v>
      </c>
      <c r="B9" s="20" t="s">
        <v>195</v>
      </c>
      <c r="C9" s="20">
        <v>30.0</v>
      </c>
      <c r="D9" s="20" t="s">
        <v>196</v>
      </c>
      <c r="E9" s="20" t="str">
        <f t="shared" si="2"/>
        <v>TOYOTA</v>
      </c>
      <c r="F9" s="20" t="str">
        <f t="shared" si="3"/>
        <v>ĐÀ LẠT</v>
      </c>
      <c r="G9" s="20">
        <f t="shared" si="4"/>
        <v>3000000</v>
      </c>
      <c r="H9" s="20">
        <f t="shared" si="5"/>
        <v>0</v>
      </c>
      <c r="I9" s="20">
        <f t="shared" si="6"/>
        <v>3000000</v>
      </c>
    </row>
    <row r="10">
      <c r="A10" s="20">
        <f t="shared" si="1"/>
        <v>7</v>
      </c>
      <c r="B10" s="20" t="s">
        <v>197</v>
      </c>
      <c r="C10" s="20">
        <v>10.0</v>
      </c>
      <c r="D10" s="20" t="s">
        <v>198</v>
      </c>
      <c r="E10" s="20" t="str">
        <f t="shared" si="2"/>
        <v>TOYOTA</v>
      </c>
      <c r="F10" s="20" t="str">
        <f t="shared" si="3"/>
        <v>VŨNG TÀU</v>
      </c>
      <c r="G10" s="20">
        <f t="shared" si="4"/>
        <v>500000</v>
      </c>
      <c r="H10" s="20">
        <f t="shared" si="5"/>
        <v>50000</v>
      </c>
      <c r="I10" s="20">
        <f t="shared" si="6"/>
        <v>450000</v>
      </c>
    </row>
    <row r="11">
      <c r="A11" s="20">
        <f t="shared" si="1"/>
        <v>8</v>
      </c>
      <c r="B11" s="20" t="s">
        <v>199</v>
      </c>
      <c r="C11" s="20">
        <v>40.0</v>
      </c>
      <c r="D11" s="20" t="s">
        <v>200</v>
      </c>
      <c r="E11" s="20" t="str">
        <f t="shared" si="2"/>
        <v>TOYOTA</v>
      </c>
      <c r="F11" s="20" t="str">
        <f t="shared" si="3"/>
        <v>NHA TRANG</v>
      </c>
      <c r="G11" s="20">
        <f t="shared" si="4"/>
        <v>3200000</v>
      </c>
      <c r="H11" s="20">
        <f t="shared" si="5"/>
        <v>0</v>
      </c>
      <c r="I11" s="20">
        <f t="shared" si="6"/>
        <v>3200000</v>
      </c>
    </row>
    <row r="13">
      <c r="A13" s="23" t="s">
        <v>143</v>
      </c>
    </row>
    <row r="14">
      <c r="A14" s="20" t="s">
        <v>201</v>
      </c>
      <c r="B14" s="20" t="s">
        <v>182</v>
      </c>
      <c r="C14" s="20" t="s">
        <v>148</v>
      </c>
      <c r="D14" s="20" t="s">
        <v>150</v>
      </c>
      <c r="E14" s="20" t="s">
        <v>152</v>
      </c>
      <c r="G14" s="20" t="s">
        <v>202</v>
      </c>
      <c r="H14" s="20"/>
      <c r="I14" s="20" t="s">
        <v>148</v>
      </c>
      <c r="J14" s="20" t="s">
        <v>150</v>
      </c>
      <c r="K14" s="20" t="s">
        <v>152</v>
      </c>
    </row>
    <row r="15">
      <c r="A15" s="20" t="s">
        <v>203</v>
      </c>
      <c r="B15" s="20" t="s">
        <v>204</v>
      </c>
      <c r="C15" s="20">
        <v>50000.0</v>
      </c>
      <c r="D15" s="20">
        <v>80000.0</v>
      </c>
      <c r="E15" s="20">
        <v>100000.0</v>
      </c>
      <c r="G15" s="20" t="s">
        <v>205</v>
      </c>
      <c r="H15" s="20"/>
      <c r="I15" s="20">
        <f>SUMIF($F$4:F11,"VŨNG TÀU",$I$4:$I$11)</f>
        <v>6050000</v>
      </c>
      <c r="J15" s="20">
        <f>SUMIF($F$4:G11,"NHA TRANG",$I$4:$I$11)</f>
        <v>7160000</v>
      </c>
      <c r="K15" s="20">
        <f>SUMIF($F$4:H11,"ĐÀ LẠT",$I$4:$I$11)</f>
        <v>4980000</v>
      </c>
    </row>
    <row r="16">
      <c r="A16" s="20" t="s">
        <v>206</v>
      </c>
      <c r="B16" s="20" t="s">
        <v>207</v>
      </c>
      <c r="C16" s="20">
        <v>60000.0</v>
      </c>
      <c r="D16" s="20">
        <v>90000.0</v>
      </c>
      <c r="E16" s="20">
        <v>110000.0</v>
      </c>
    </row>
    <row r="17">
      <c r="A17" s="20" t="s">
        <v>208</v>
      </c>
      <c r="B17" s="20" t="s">
        <v>209</v>
      </c>
      <c r="C17" s="20">
        <v>40000.0</v>
      </c>
      <c r="D17" s="20">
        <v>70000.0</v>
      </c>
      <c r="E17" s="20">
        <v>90000.0</v>
      </c>
    </row>
    <row r="19">
      <c r="A19" s="23" t="s">
        <v>166</v>
      </c>
    </row>
    <row r="20">
      <c r="A20" s="20" t="s">
        <v>202</v>
      </c>
      <c r="B20" s="20"/>
      <c r="C20" s="20" t="s">
        <v>148</v>
      </c>
      <c r="D20" s="20" t="s">
        <v>150</v>
      </c>
      <c r="E20" s="20" t="s">
        <v>152</v>
      </c>
    </row>
    <row r="21" ht="15.75" customHeight="1">
      <c r="A21" s="20" t="s">
        <v>145</v>
      </c>
      <c r="B21" s="20"/>
      <c r="C21" s="20" t="s">
        <v>149</v>
      </c>
      <c r="D21" s="20" t="s">
        <v>151</v>
      </c>
      <c r="E21" s="20" t="s">
        <v>153</v>
      </c>
    </row>
    <row r="22" ht="15.75" customHeight="1">
      <c r="A22" s="23" t="s">
        <v>210</v>
      </c>
    </row>
    <row r="23" ht="15.75" customHeight="1">
      <c r="A23" s="39" t="s">
        <v>211</v>
      </c>
    </row>
    <row r="24" ht="15.75" customHeight="1">
      <c r="A24" s="39" t="s">
        <v>212</v>
      </c>
    </row>
    <row r="25" ht="15.75" customHeight="1">
      <c r="A25" s="39" t="s">
        <v>213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I2"/>
    <mergeCell ref="A23:E23"/>
    <mergeCell ref="A24:E24"/>
    <mergeCell ref="A25:E2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5.57"/>
    <col customWidth="1" min="3" max="3" width="11.71"/>
    <col customWidth="1" min="4" max="4" width="16.43"/>
    <col customWidth="1" min="5" max="6" width="8.71"/>
    <col customWidth="1" min="7" max="7" width="11.43"/>
    <col customWidth="1" min="8" max="9" width="8.71"/>
    <col customWidth="1" min="10" max="10" width="18.71"/>
    <col customWidth="1" min="11" max="26" width="8.71"/>
  </cols>
  <sheetData>
    <row r="1">
      <c r="A1" s="25" t="s">
        <v>214</v>
      </c>
      <c r="B1" s="3"/>
      <c r="C1" s="3"/>
      <c r="D1" s="3"/>
      <c r="E1" s="3"/>
      <c r="F1" s="3"/>
      <c r="G1" s="3"/>
    </row>
    <row r="2">
      <c r="A2" s="18" t="s">
        <v>61</v>
      </c>
      <c r="B2" s="18" t="s">
        <v>215</v>
      </c>
      <c r="C2" s="19" t="s">
        <v>216</v>
      </c>
      <c r="D2" s="19" t="s">
        <v>217</v>
      </c>
      <c r="E2" s="18" t="s">
        <v>112</v>
      </c>
      <c r="F2" s="18" t="s">
        <v>218</v>
      </c>
      <c r="G2" s="18" t="s">
        <v>219</v>
      </c>
      <c r="J2" s="19" t="s">
        <v>217</v>
      </c>
    </row>
    <row r="3">
      <c r="A3" s="20">
        <f t="shared" ref="A3:A11" si="1">ROW()-2</f>
        <v>1</v>
      </c>
      <c r="B3" s="20" t="s">
        <v>220</v>
      </c>
      <c r="C3" s="20" t="str">
        <f t="shared" ref="C3:C11" si="2">VLOOKUP(LEFT(B3,2),$B$16:$C$18,2,0)</f>
        <v>ĐÀ LẠT</v>
      </c>
      <c r="D3" s="20" t="str">
        <f t="shared" ref="D3:D11" si="3">HLOOKUP(MID(B3,3,1),$C$20:$D$21,2,0)&amp;IF(MID(B3,4,1)="1", " LOẠI 1"," LOẠI 2")</f>
        <v>XE DU LỊCH LOẠI 1</v>
      </c>
      <c r="E3" s="40">
        <f t="shared" ref="E3:E11" si="4">VLOOKUP(LEFT(B3,2),$B$13:$G$18,IF(AND(MID(B3,3,1)="B",MID(B3,4,1)="1"),3,IF(AND(MID(B3,3,1)="B",MID(B3,4,1)="2"),4,IF(AND(MID(B3,3,1)="X",MID(B3,4,1)="1"),5,6))),0)</f>
        <v>672000</v>
      </c>
      <c r="F3" s="40">
        <f t="shared" ref="F3:F11" si="5">IF(RIGHT(B3,1)="N",IF(OR(LEFT(B3,2)="NT",LEFT(B3,2)="ĐL"),50%*E3,75%*E3),0)</f>
        <v>336000</v>
      </c>
      <c r="G3" s="40">
        <f t="shared" ref="G3:G11" si="6">E3+F3</f>
        <v>1008000</v>
      </c>
      <c r="J3" s="26" t="s">
        <v>221</v>
      </c>
    </row>
    <row r="4">
      <c r="A4" s="20">
        <f t="shared" si="1"/>
        <v>2</v>
      </c>
      <c r="B4" s="20" t="s">
        <v>222</v>
      </c>
      <c r="C4" s="20" t="str">
        <f t="shared" si="2"/>
        <v>ĐÀ LẠT</v>
      </c>
      <c r="D4" s="20" t="str">
        <f t="shared" si="3"/>
        <v>MÁY BAY LOẠI 2</v>
      </c>
      <c r="E4" s="40">
        <f t="shared" si="4"/>
        <v>1170000</v>
      </c>
      <c r="F4" s="40">
        <f t="shared" si="5"/>
        <v>0</v>
      </c>
      <c r="G4" s="40">
        <f t="shared" si="6"/>
        <v>1170000</v>
      </c>
      <c r="J4" s="26" t="s">
        <v>223</v>
      </c>
    </row>
    <row r="5">
      <c r="A5" s="20">
        <f t="shared" si="1"/>
        <v>3</v>
      </c>
      <c r="B5" s="20" t="s">
        <v>224</v>
      </c>
      <c r="C5" s="20" t="str">
        <f t="shared" si="2"/>
        <v>HÀ NỘI</v>
      </c>
      <c r="D5" s="20" t="str">
        <f t="shared" si="3"/>
        <v>MÁY BAY LOẠI 2</v>
      </c>
      <c r="E5" s="40">
        <f t="shared" si="4"/>
        <v>3970000</v>
      </c>
      <c r="F5" s="40">
        <f t="shared" si="5"/>
        <v>0</v>
      </c>
      <c r="G5" s="40">
        <f t="shared" si="6"/>
        <v>3970000</v>
      </c>
    </row>
    <row r="6">
      <c r="A6" s="20">
        <f t="shared" si="1"/>
        <v>4</v>
      </c>
      <c r="B6" s="20" t="s">
        <v>225</v>
      </c>
      <c r="C6" s="20" t="str">
        <f t="shared" si="2"/>
        <v>HÀ NỘI</v>
      </c>
      <c r="D6" s="20" t="str">
        <f t="shared" si="3"/>
        <v>MÁY BAY LOẠI 1</v>
      </c>
      <c r="E6" s="40">
        <f t="shared" si="4"/>
        <v>4150000</v>
      </c>
      <c r="F6" s="40">
        <f t="shared" si="5"/>
        <v>3112500</v>
      </c>
      <c r="G6" s="40">
        <f t="shared" si="6"/>
        <v>7262500</v>
      </c>
    </row>
    <row r="7">
      <c r="A7" s="20">
        <f t="shared" si="1"/>
        <v>5</v>
      </c>
      <c r="B7" s="20" t="s">
        <v>226</v>
      </c>
      <c r="C7" s="20" t="str">
        <f t="shared" si="2"/>
        <v>HÀ NỘI</v>
      </c>
      <c r="D7" s="20" t="str">
        <f t="shared" si="3"/>
        <v>XE DU LỊCH LOẠI 1</v>
      </c>
      <c r="E7" s="40">
        <f t="shared" si="4"/>
        <v>3050000</v>
      </c>
      <c r="F7" s="40">
        <f t="shared" si="5"/>
        <v>0</v>
      </c>
      <c r="G7" s="40">
        <f t="shared" si="6"/>
        <v>3050000</v>
      </c>
    </row>
    <row r="8">
      <c r="A8" s="20">
        <f t="shared" si="1"/>
        <v>6</v>
      </c>
      <c r="B8" s="20" t="s">
        <v>227</v>
      </c>
      <c r="C8" s="20" t="str">
        <f t="shared" si="2"/>
        <v>HÀ NỘI</v>
      </c>
      <c r="D8" s="20" t="str">
        <f t="shared" si="3"/>
        <v>XE DU LỊCH LOẠI 2</v>
      </c>
      <c r="E8" s="40">
        <f t="shared" si="4"/>
        <v>2750000</v>
      </c>
      <c r="F8" s="40">
        <f t="shared" si="5"/>
        <v>0</v>
      </c>
      <c r="G8" s="40">
        <f t="shared" si="6"/>
        <v>2750000</v>
      </c>
    </row>
    <row r="9">
      <c r="A9" s="20">
        <f t="shared" si="1"/>
        <v>7</v>
      </c>
      <c r="B9" s="20" t="s">
        <v>228</v>
      </c>
      <c r="C9" s="20" t="str">
        <f t="shared" si="2"/>
        <v>NHA TRANG</v>
      </c>
      <c r="D9" s="20" t="str">
        <f t="shared" si="3"/>
        <v>XE DU LỊCH LOẠI 1</v>
      </c>
      <c r="E9" s="40">
        <f t="shared" si="4"/>
        <v>950000</v>
      </c>
      <c r="F9" s="40">
        <f t="shared" si="5"/>
        <v>475000</v>
      </c>
      <c r="G9" s="40">
        <f t="shared" si="6"/>
        <v>1425000</v>
      </c>
    </row>
    <row r="10">
      <c r="A10" s="20">
        <f t="shared" si="1"/>
        <v>8</v>
      </c>
      <c r="B10" s="20" t="s">
        <v>229</v>
      </c>
      <c r="C10" s="20" t="str">
        <f t="shared" si="2"/>
        <v>NHA TRANG</v>
      </c>
      <c r="D10" s="20" t="str">
        <f t="shared" si="3"/>
        <v>XE DU LỊCH LOẠI 1</v>
      </c>
      <c r="E10" s="40">
        <f t="shared" si="4"/>
        <v>950000</v>
      </c>
      <c r="F10" s="40">
        <f t="shared" si="5"/>
        <v>0</v>
      </c>
      <c r="G10" s="40">
        <f t="shared" si="6"/>
        <v>950000</v>
      </c>
    </row>
    <row r="11">
      <c r="A11" s="20">
        <f t="shared" si="1"/>
        <v>9</v>
      </c>
      <c r="B11" s="20" t="s">
        <v>230</v>
      </c>
      <c r="C11" s="20" t="str">
        <f t="shared" si="2"/>
        <v>NHA TRANG</v>
      </c>
      <c r="D11" s="20" t="str">
        <f t="shared" si="3"/>
        <v>MÁY BAY LOẠI 2</v>
      </c>
      <c r="E11" s="40">
        <f t="shared" si="4"/>
        <v>1483000</v>
      </c>
      <c r="F11" s="40">
        <f t="shared" si="5"/>
        <v>0</v>
      </c>
      <c r="G11" s="40">
        <f t="shared" si="6"/>
        <v>1483000</v>
      </c>
    </row>
    <row r="12">
      <c r="B12" s="41" t="s">
        <v>143</v>
      </c>
    </row>
    <row r="13" ht="28.5" customHeight="1">
      <c r="B13" s="42" t="s">
        <v>144</v>
      </c>
      <c r="C13" s="43" t="s">
        <v>216</v>
      </c>
      <c r="D13" s="44" t="s">
        <v>112</v>
      </c>
      <c r="E13" s="7"/>
      <c r="F13" s="7"/>
      <c r="G13" s="8"/>
    </row>
    <row r="14">
      <c r="B14" s="45"/>
      <c r="C14" s="45"/>
      <c r="D14" s="46" t="s">
        <v>231</v>
      </c>
      <c r="E14" s="8"/>
      <c r="F14" s="46" t="s">
        <v>232</v>
      </c>
      <c r="G14" s="8"/>
    </row>
    <row r="15">
      <c r="B15" s="47"/>
      <c r="C15" s="47"/>
      <c r="D15" s="18" t="s">
        <v>233</v>
      </c>
      <c r="E15" s="18" t="s">
        <v>234</v>
      </c>
      <c r="F15" s="18" t="s">
        <v>233</v>
      </c>
      <c r="G15" s="18" t="s">
        <v>234</v>
      </c>
    </row>
    <row r="16">
      <c r="B16" s="20" t="s">
        <v>150</v>
      </c>
      <c r="C16" s="20" t="s">
        <v>151</v>
      </c>
      <c r="D16" s="40">
        <v>1550000.0</v>
      </c>
      <c r="E16" s="40">
        <v>1483000.0</v>
      </c>
      <c r="F16" s="40">
        <v>950000.0</v>
      </c>
      <c r="G16" s="40">
        <v>847000.0</v>
      </c>
    </row>
    <row r="17">
      <c r="B17" s="20" t="s">
        <v>152</v>
      </c>
      <c r="C17" s="20" t="s">
        <v>153</v>
      </c>
      <c r="D17" s="40">
        <v>1290000.0</v>
      </c>
      <c r="E17" s="40">
        <v>1170000.0</v>
      </c>
      <c r="F17" s="40">
        <v>672000.0</v>
      </c>
      <c r="G17" s="40">
        <v>540000.0</v>
      </c>
    </row>
    <row r="18">
      <c r="B18" s="20" t="s">
        <v>235</v>
      </c>
      <c r="C18" s="20" t="s">
        <v>236</v>
      </c>
      <c r="D18" s="40">
        <v>4150000.0</v>
      </c>
      <c r="E18" s="40">
        <v>3970000.0</v>
      </c>
      <c r="F18" s="40">
        <v>3050000.0</v>
      </c>
      <c r="G18" s="40">
        <v>2750000.0</v>
      </c>
    </row>
    <row r="19">
      <c r="B19" s="23" t="s">
        <v>166</v>
      </c>
    </row>
    <row r="20">
      <c r="B20" s="20" t="s">
        <v>237</v>
      </c>
      <c r="C20" s="20" t="s">
        <v>92</v>
      </c>
      <c r="D20" s="20" t="s">
        <v>238</v>
      </c>
    </row>
    <row r="21" ht="15.75" customHeight="1">
      <c r="B21" s="20" t="s">
        <v>239</v>
      </c>
      <c r="C21" s="20" t="s">
        <v>231</v>
      </c>
      <c r="D21" s="20" t="s">
        <v>232</v>
      </c>
    </row>
    <row r="22" ht="15.75" customHeight="1"/>
    <row r="23" ht="15.75" customHeight="1">
      <c r="A23" s="23" t="s">
        <v>240</v>
      </c>
    </row>
    <row r="24" ht="15.75" customHeight="1">
      <c r="B24" s="23" t="s">
        <v>241</v>
      </c>
    </row>
    <row r="25" ht="15.75" customHeight="1">
      <c r="B25" s="23" t="s">
        <v>242</v>
      </c>
    </row>
    <row r="26" ht="15.75" customHeight="1">
      <c r="B26" s="23" t="s">
        <v>243</v>
      </c>
    </row>
    <row r="27" ht="15.75" customHeight="1">
      <c r="B27" s="23" t="s">
        <v>244</v>
      </c>
    </row>
    <row r="28" ht="15.75" customHeight="1"/>
    <row r="29" ht="15.75" customHeight="1">
      <c r="B29" s="23" t="s">
        <v>245</v>
      </c>
    </row>
    <row r="30" ht="15.75" customHeight="1">
      <c r="B30" s="33" t="s">
        <v>246</v>
      </c>
      <c r="C30" s="20" t="s">
        <v>151</v>
      </c>
      <c r="D30" s="20" t="s">
        <v>153</v>
      </c>
      <c r="E30" s="20" t="s">
        <v>236</v>
      </c>
    </row>
    <row r="31" ht="15.75" customHeight="1">
      <c r="B31" s="33" t="s">
        <v>247</v>
      </c>
      <c r="C31" s="20">
        <f>COUNTIF($C$3:$C$11,"NHA TRANG")</f>
        <v>3</v>
      </c>
      <c r="D31" s="20">
        <f>COUNTIF($C$3:$C$11,"ĐÀ LẠT")</f>
        <v>2</v>
      </c>
      <c r="E31" s="20">
        <f>COUNTIF($C$3:$C$11,"HÀ NỘI")</f>
        <v>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A50" s="18" t="s">
        <v>61</v>
      </c>
      <c r="B50" s="18" t="s">
        <v>215</v>
      </c>
      <c r="C50" s="19" t="s">
        <v>216</v>
      </c>
      <c r="D50" s="19" t="s">
        <v>217</v>
      </c>
      <c r="E50" s="18" t="s">
        <v>112</v>
      </c>
      <c r="F50" s="18" t="s">
        <v>218</v>
      </c>
      <c r="G50" s="18" t="s">
        <v>219</v>
      </c>
    </row>
    <row r="51" ht="15.75" customHeight="1">
      <c r="A51" s="20">
        <v>2.0</v>
      </c>
      <c r="B51" s="20" t="s">
        <v>222</v>
      </c>
      <c r="C51" s="20" t="s">
        <v>153</v>
      </c>
      <c r="D51" s="20" t="s">
        <v>223</v>
      </c>
      <c r="E51" s="40">
        <v>1170000.0</v>
      </c>
      <c r="F51" s="40">
        <v>0.0</v>
      </c>
      <c r="G51" s="40">
        <v>1170000.0</v>
      </c>
    </row>
    <row r="52" ht="15.75" customHeight="1">
      <c r="A52" s="20">
        <v>3.0</v>
      </c>
      <c r="B52" s="20" t="s">
        <v>224</v>
      </c>
      <c r="C52" s="20" t="s">
        <v>236</v>
      </c>
      <c r="D52" s="20" t="s">
        <v>223</v>
      </c>
      <c r="E52" s="40">
        <v>3970000.0</v>
      </c>
      <c r="F52" s="40">
        <v>0.0</v>
      </c>
      <c r="G52" s="40">
        <v>3970000.0</v>
      </c>
    </row>
    <row r="53" ht="15.75" customHeight="1">
      <c r="A53" s="20">
        <v>4.0</v>
      </c>
      <c r="B53" s="20" t="s">
        <v>225</v>
      </c>
      <c r="C53" s="20" t="s">
        <v>236</v>
      </c>
      <c r="D53" s="20" t="s">
        <v>221</v>
      </c>
      <c r="E53" s="40">
        <v>4150000.0</v>
      </c>
      <c r="F53" s="40">
        <v>3112500.0</v>
      </c>
      <c r="G53" s="40">
        <v>7262500.0</v>
      </c>
    </row>
    <row r="54" ht="15.75" customHeight="1">
      <c r="A54" s="20">
        <v>9.0</v>
      </c>
      <c r="B54" s="20" t="s">
        <v>230</v>
      </c>
      <c r="C54" s="20" t="s">
        <v>151</v>
      </c>
      <c r="D54" s="20" t="s">
        <v>223</v>
      </c>
      <c r="E54" s="40">
        <v>1483000.0</v>
      </c>
      <c r="F54" s="40">
        <v>0.0</v>
      </c>
      <c r="G54" s="40">
        <v>1483000.0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G1"/>
    <mergeCell ref="B12:C12"/>
    <mergeCell ref="B13:B15"/>
    <mergeCell ref="C13:C15"/>
    <mergeCell ref="D13:G13"/>
    <mergeCell ref="D14:E14"/>
    <mergeCell ref="F14:G14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8.71"/>
    <col customWidth="1" min="4" max="4" width="14.86"/>
    <col customWidth="1" min="5" max="5" width="10.14"/>
    <col customWidth="1" min="6" max="6" width="10.86"/>
    <col customWidth="1" min="7" max="7" width="8.71"/>
    <col customWidth="1" min="8" max="8" width="11.14"/>
    <col customWidth="1" min="9" max="9" width="14.43"/>
    <col customWidth="1" min="10" max="26" width="8.71"/>
  </cols>
  <sheetData>
    <row r="1">
      <c r="A1" s="23" t="s">
        <v>248</v>
      </c>
    </row>
    <row r="2">
      <c r="A2" s="48" t="s">
        <v>249</v>
      </c>
      <c r="B2" s="3"/>
      <c r="C2" s="3"/>
      <c r="D2" s="3"/>
      <c r="E2" s="3"/>
      <c r="F2" s="3"/>
      <c r="G2" s="3"/>
      <c r="H2" s="3"/>
    </row>
    <row r="3">
      <c r="A3" s="34" t="s">
        <v>250</v>
      </c>
      <c r="B3" s="34" t="s">
        <v>251</v>
      </c>
      <c r="C3" s="34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  <c r="H3" s="35" t="s">
        <v>257</v>
      </c>
      <c r="I3" s="49" t="s">
        <v>7</v>
      </c>
    </row>
    <row r="4">
      <c r="A4" s="36">
        <v>36960.0</v>
      </c>
      <c r="B4" s="20" t="s">
        <v>258</v>
      </c>
      <c r="C4" s="20" t="s">
        <v>259</v>
      </c>
      <c r="D4" s="20">
        <v>250500.0</v>
      </c>
      <c r="E4" s="20">
        <f t="shared" ref="E4:E13" si="1">HLOOKUP(C4,$B$17:$E$18,2,0)</f>
        <v>2000</v>
      </c>
      <c r="F4" s="20">
        <f t="shared" ref="F4:F13" si="2">D4*E4</f>
        <v>501000000</v>
      </c>
      <c r="G4" s="20">
        <f t="shared" ref="G4:G13" si="3">VLOOKUP(LEFT(B4,2),$A$22:$B$25,2,0)*D4</f>
        <v>6262500</v>
      </c>
      <c r="H4" s="22">
        <f t="shared" ref="H4:H13" si="4">VLOOKUP(LEFT(B4,2),$A$22:$C$25,3,0)*F4</f>
        <v>2505000</v>
      </c>
      <c r="I4" s="22">
        <f t="shared" ref="I4:I13" si="5">F4+G4+H4</f>
        <v>509767500</v>
      </c>
    </row>
    <row r="5">
      <c r="A5" s="36">
        <v>36960.0</v>
      </c>
      <c r="B5" s="20" t="s">
        <v>260</v>
      </c>
      <c r="C5" s="20" t="s">
        <v>259</v>
      </c>
      <c r="D5" s="20">
        <v>65500.0</v>
      </c>
      <c r="E5" s="20">
        <f t="shared" si="1"/>
        <v>2000</v>
      </c>
      <c r="F5" s="20">
        <f t="shared" si="2"/>
        <v>131000000</v>
      </c>
      <c r="G5" s="20">
        <f t="shared" si="3"/>
        <v>3275000</v>
      </c>
      <c r="H5" s="22">
        <f t="shared" si="4"/>
        <v>524000</v>
      </c>
      <c r="I5" s="22">
        <f t="shared" si="5"/>
        <v>134799000</v>
      </c>
    </row>
    <row r="6">
      <c r="A6" s="36">
        <v>37023.0</v>
      </c>
      <c r="B6" s="20" t="s">
        <v>261</v>
      </c>
      <c r="C6" s="20" t="s">
        <v>262</v>
      </c>
      <c r="D6" s="20">
        <v>75000.0</v>
      </c>
      <c r="E6" s="20">
        <f t="shared" si="1"/>
        <v>1800</v>
      </c>
      <c r="F6" s="20">
        <f t="shared" si="2"/>
        <v>135000000</v>
      </c>
      <c r="G6" s="20">
        <f t="shared" si="3"/>
        <v>1875000</v>
      </c>
      <c r="H6" s="22">
        <f t="shared" si="4"/>
        <v>675000</v>
      </c>
      <c r="I6" s="22">
        <f t="shared" si="5"/>
        <v>137550000</v>
      </c>
    </row>
    <row r="7">
      <c r="A7" s="36">
        <v>37028.0</v>
      </c>
      <c r="B7" s="20" t="s">
        <v>263</v>
      </c>
      <c r="C7" s="20" t="s">
        <v>262</v>
      </c>
      <c r="D7" s="20">
        <v>45000.0</v>
      </c>
      <c r="E7" s="20">
        <f t="shared" si="1"/>
        <v>1800</v>
      </c>
      <c r="F7" s="20">
        <f t="shared" si="2"/>
        <v>81000000</v>
      </c>
      <c r="G7" s="20">
        <f t="shared" si="3"/>
        <v>1800000</v>
      </c>
      <c r="H7" s="22">
        <f t="shared" si="4"/>
        <v>202500</v>
      </c>
      <c r="I7" s="22">
        <f t="shared" si="5"/>
        <v>83002500</v>
      </c>
    </row>
    <row r="8">
      <c r="A8" s="36">
        <v>37023.0</v>
      </c>
      <c r="B8" s="20" t="s">
        <v>264</v>
      </c>
      <c r="C8" s="20" t="s">
        <v>265</v>
      </c>
      <c r="D8" s="20">
        <v>170000.0</v>
      </c>
      <c r="E8" s="20">
        <f t="shared" si="1"/>
        <v>2500</v>
      </c>
      <c r="F8" s="20">
        <f t="shared" si="2"/>
        <v>425000000</v>
      </c>
      <c r="G8" s="20">
        <f t="shared" si="3"/>
        <v>8500000</v>
      </c>
      <c r="H8" s="22">
        <f t="shared" si="4"/>
        <v>1700000</v>
      </c>
      <c r="I8" s="22">
        <f t="shared" si="5"/>
        <v>435200000</v>
      </c>
    </row>
    <row r="9">
      <c r="A9" s="36">
        <v>37023.0</v>
      </c>
      <c r="B9" s="20" t="s">
        <v>266</v>
      </c>
      <c r="C9" s="20" t="s">
        <v>265</v>
      </c>
      <c r="D9" s="20">
        <v>70000.0</v>
      </c>
      <c r="E9" s="20">
        <f t="shared" si="1"/>
        <v>2500</v>
      </c>
      <c r="F9" s="20">
        <f t="shared" si="2"/>
        <v>175000000</v>
      </c>
      <c r="G9" s="20">
        <f t="shared" si="3"/>
        <v>3500000</v>
      </c>
      <c r="H9" s="22">
        <f t="shared" si="4"/>
        <v>700000</v>
      </c>
      <c r="I9" s="22">
        <f t="shared" si="5"/>
        <v>179200000</v>
      </c>
    </row>
    <row r="10">
      <c r="A10" s="36">
        <v>37027.0</v>
      </c>
      <c r="B10" s="20" t="s">
        <v>267</v>
      </c>
      <c r="C10" s="20" t="s">
        <v>265</v>
      </c>
      <c r="D10" s="20">
        <v>85000.0</v>
      </c>
      <c r="E10" s="20">
        <f t="shared" si="1"/>
        <v>2500</v>
      </c>
      <c r="F10" s="20">
        <f t="shared" si="2"/>
        <v>212500000</v>
      </c>
      <c r="G10" s="20">
        <f t="shared" si="3"/>
        <v>2125000</v>
      </c>
      <c r="H10" s="22">
        <f t="shared" si="4"/>
        <v>1062500</v>
      </c>
      <c r="I10" s="22">
        <f t="shared" si="5"/>
        <v>215687500</v>
      </c>
    </row>
    <row r="11">
      <c r="A11" s="36">
        <v>36992.0</v>
      </c>
      <c r="B11" s="20" t="s">
        <v>268</v>
      </c>
      <c r="C11" s="20" t="s">
        <v>269</v>
      </c>
      <c r="D11" s="20">
        <v>60500.0</v>
      </c>
      <c r="E11" s="20">
        <f t="shared" si="1"/>
        <v>2300</v>
      </c>
      <c r="F11" s="20">
        <f t="shared" si="2"/>
        <v>139150000</v>
      </c>
      <c r="G11" s="20">
        <f t="shared" si="3"/>
        <v>2420000</v>
      </c>
      <c r="H11" s="22">
        <f t="shared" si="4"/>
        <v>347875</v>
      </c>
      <c r="I11" s="22">
        <f t="shared" si="5"/>
        <v>141917875</v>
      </c>
    </row>
    <row r="12">
      <c r="A12" s="36">
        <v>36993.0</v>
      </c>
      <c r="B12" s="20" t="s">
        <v>270</v>
      </c>
      <c r="C12" s="20" t="s">
        <v>269</v>
      </c>
      <c r="D12" s="20">
        <v>120500.0</v>
      </c>
      <c r="E12" s="20">
        <f t="shared" si="1"/>
        <v>2300</v>
      </c>
      <c r="F12" s="20">
        <f t="shared" si="2"/>
        <v>277150000</v>
      </c>
      <c r="G12" s="20">
        <f t="shared" si="3"/>
        <v>6025000</v>
      </c>
      <c r="H12" s="22">
        <f t="shared" si="4"/>
        <v>1108600</v>
      </c>
      <c r="I12" s="22">
        <f t="shared" si="5"/>
        <v>284283600</v>
      </c>
    </row>
    <row r="13">
      <c r="A13" s="36">
        <v>36996.0</v>
      </c>
      <c r="B13" s="20" t="s">
        <v>271</v>
      </c>
      <c r="C13" s="20" t="s">
        <v>269</v>
      </c>
      <c r="D13" s="20">
        <v>50000.0</v>
      </c>
      <c r="E13" s="20">
        <f t="shared" si="1"/>
        <v>2300</v>
      </c>
      <c r="F13" s="20">
        <f t="shared" si="2"/>
        <v>115000000</v>
      </c>
      <c r="G13" s="20">
        <f t="shared" si="3"/>
        <v>2000000</v>
      </c>
      <c r="H13" s="22">
        <f t="shared" si="4"/>
        <v>287500</v>
      </c>
      <c r="I13" s="22">
        <f t="shared" si="5"/>
        <v>117287500</v>
      </c>
    </row>
    <row r="14">
      <c r="A14" s="37" t="s">
        <v>17</v>
      </c>
      <c r="B14" s="7"/>
      <c r="C14" s="8"/>
      <c r="D14" s="20">
        <f t="shared" ref="D14:I14" si="6">SUM(D4:D13)</f>
        <v>992000</v>
      </c>
      <c r="E14" s="20">
        <f t="shared" si="6"/>
        <v>22000</v>
      </c>
      <c r="F14" s="20">
        <f t="shared" si="6"/>
        <v>2191800000</v>
      </c>
      <c r="G14" s="20">
        <f t="shared" si="6"/>
        <v>37782500</v>
      </c>
      <c r="H14" s="22">
        <f t="shared" si="6"/>
        <v>9112975</v>
      </c>
      <c r="I14" s="22">
        <f t="shared" si="6"/>
        <v>2238695475</v>
      </c>
    </row>
    <row r="15">
      <c r="A15" s="39"/>
      <c r="B15" s="39"/>
      <c r="C15" s="39"/>
      <c r="D15" s="39"/>
      <c r="E15" s="39"/>
      <c r="F15" s="39"/>
      <c r="G15" s="39"/>
      <c r="H15" s="39"/>
    </row>
    <row r="16">
      <c r="A16" s="23" t="s">
        <v>101</v>
      </c>
    </row>
    <row r="17">
      <c r="A17" s="20" t="s">
        <v>252</v>
      </c>
      <c r="B17" s="20" t="s">
        <v>259</v>
      </c>
      <c r="C17" s="20" t="s">
        <v>262</v>
      </c>
      <c r="D17" s="20" t="s">
        <v>265</v>
      </c>
      <c r="E17" s="20" t="s">
        <v>269</v>
      </c>
    </row>
    <row r="18">
      <c r="A18" s="20" t="s">
        <v>272</v>
      </c>
      <c r="B18" s="20">
        <v>2000.0</v>
      </c>
      <c r="C18" s="20">
        <v>1800.0</v>
      </c>
      <c r="D18" s="20">
        <v>2500.0</v>
      </c>
      <c r="E18" s="20">
        <v>2300.0</v>
      </c>
    </row>
    <row r="20">
      <c r="A20" s="23" t="s">
        <v>273</v>
      </c>
      <c r="I20" s="34" t="s">
        <v>251</v>
      </c>
    </row>
    <row r="21" ht="35.25" customHeight="1">
      <c r="A21" s="49" t="s">
        <v>274</v>
      </c>
      <c r="B21" s="50" t="s">
        <v>275</v>
      </c>
      <c r="C21" s="49" t="s">
        <v>257</v>
      </c>
      <c r="D21" s="50" t="s">
        <v>276</v>
      </c>
      <c r="I21" s="20" t="s">
        <v>277</v>
      </c>
    </row>
    <row r="22" ht="15.75" customHeight="1">
      <c r="A22" s="20" t="s">
        <v>278</v>
      </c>
      <c r="B22" s="20">
        <v>25.0</v>
      </c>
      <c r="C22" s="51">
        <v>0.005</v>
      </c>
      <c r="D22" s="20">
        <f>SUMIF($B$4:$B$13,"DN****",$G$4:$G$13)</f>
        <v>8387500</v>
      </c>
      <c r="I22" s="52" t="s">
        <v>279</v>
      </c>
    </row>
    <row r="23" ht="15.75" customHeight="1">
      <c r="A23" s="20" t="s">
        <v>280</v>
      </c>
      <c r="B23" s="20">
        <v>50.0</v>
      </c>
      <c r="C23" s="51">
        <v>0.004</v>
      </c>
      <c r="D23" s="20">
        <f>SUMIF($B$4:$B$13,"LD****",$G$4:$G$13)</f>
        <v>21300000</v>
      </c>
    </row>
    <row r="24" ht="15.75" customHeight="1">
      <c r="A24" s="20" t="s">
        <v>281</v>
      </c>
      <c r="B24" s="20">
        <v>25.0</v>
      </c>
      <c r="C24" s="51">
        <v>0.005</v>
      </c>
      <c r="D24" s="20">
        <f>SUMIF($B$4:$B$13,"SB****",$G$4:$G$13)</f>
        <v>1875000</v>
      </c>
    </row>
    <row r="25" ht="15.75" customHeight="1">
      <c r="A25" s="20" t="s">
        <v>282</v>
      </c>
      <c r="B25" s="20">
        <v>40.0</v>
      </c>
      <c r="C25" s="51">
        <v>0.0025</v>
      </c>
      <c r="D25" s="20">
        <f>SUMIF($B$4:$B$13,"TN****",$G$4:$G$13)</f>
        <v>6220000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34" t="s">
        <v>250</v>
      </c>
      <c r="B46" s="34" t="s">
        <v>251</v>
      </c>
      <c r="C46" s="34" t="s">
        <v>252</v>
      </c>
      <c r="D46" s="35" t="s">
        <v>253</v>
      </c>
      <c r="E46" s="35" t="s">
        <v>254</v>
      </c>
      <c r="F46" s="35" t="s">
        <v>255</v>
      </c>
      <c r="G46" s="35" t="s">
        <v>256</v>
      </c>
      <c r="H46" s="35" t="s">
        <v>257</v>
      </c>
      <c r="I46" s="49" t="s">
        <v>7</v>
      </c>
    </row>
    <row r="47" ht="15.75" customHeight="1">
      <c r="A47" s="36">
        <v>36960.0</v>
      </c>
      <c r="B47" s="20" t="s">
        <v>258</v>
      </c>
      <c r="C47" s="20" t="s">
        <v>259</v>
      </c>
      <c r="D47" s="20">
        <v>250500.0</v>
      </c>
      <c r="E47" s="20">
        <v>2000.0</v>
      </c>
      <c r="F47" s="20">
        <v>5.01E8</v>
      </c>
      <c r="G47" s="20">
        <v>6262500.0</v>
      </c>
      <c r="H47" s="22">
        <v>2505000.0</v>
      </c>
      <c r="I47" s="22">
        <v>5.097675E8</v>
      </c>
    </row>
    <row r="48" ht="15.75" customHeight="1">
      <c r="A48" s="36">
        <v>36960.0</v>
      </c>
      <c r="B48" s="20" t="s">
        <v>260</v>
      </c>
      <c r="C48" s="20" t="s">
        <v>259</v>
      </c>
      <c r="D48" s="20">
        <v>65500.0</v>
      </c>
      <c r="E48" s="20">
        <v>2000.0</v>
      </c>
      <c r="F48" s="20">
        <v>1.31E8</v>
      </c>
      <c r="G48" s="20">
        <v>3275000.0</v>
      </c>
      <c r="H48" s="22">
        <v>524000.0</v>
      </c>
      <c r="I48" s="22">
        <v>1.34799E8</v>
      </c>
    </row>
    <row r="49" ht="15.75" customHeight="1">
      <c r="A49" s="36">
        <v>36993.0</v>
      </c>
      <c r="B49" s="20" t="s">
        <v>270</v>
      </c>
      <c r="C49" s="20" t="s">
        <v>269</v>
      </c>
      <c r="D49" s="20">
        <v>120500.0</v>
      </c>
      <c r="E49" s="20">
        <v>2300.0</v>
      </c>
      <c r="F49" s="20">
        <v>2.7715E8</v>
      </c>
      <c r="G49" s="20">
        <v>6025000.0</v>
      </c>
      <c r="H49" s="22">
        <v>1108600.0</v>
      </c>
      <c r="I49" s="22">
        <v>2.842836E8</v>
      </c>
    </row>
    <row r="50" ht="15.75" customHeight="1">
      <c r="A50" s="36">
        <v>37023.0</v>
      </c>
      <c r="B50" s="20" t="s">
        <v>264</v>
      </c>
      <c r="C50" s="20" t="s">
        <v>265</v>
      </c>
      <c r="D50" s="20">
        <v>170000.0</v>
      </c>
      <c r="E50" s="20">
        <v>2500.0</v>
      </c>
      <c r="F50" s="20">
        <v>4.25E8</v>
      </c>
      <c r="G50" s="20">
        <v>8500000.0</v>
      </c>
      <c r="H50" s="22">
        <v>1700000.0</v>
      </c>
      <c r="I50" s="22">
        <v>4.352E8</v>
      </c>
    </row>
    <row r="51" ht="15.75" customHeight="1">
      <c r="A51" s="36">
        <v>37023.0</v>
      </c>
      <c r="B51" s="20" t="s">
        <v>266</v>
      </c>
      <c r="C51" s="20" t="s">
        <v>265</v>
      </c>
      <c r="D51" s="20">
        <v>70000.0</v>
      </c>
      <c r="E51" s="20">
        <v>2500.0</v>
      </c>
      <c r="F51" s="20">
        <v>1.75E8</v>
      </c>
      <c r="G51" s="20">
        <v>3500000.0</v>
      </c>
      <c r="H51" s="22">
        <v>700000.0</v>
      </c>
      <c r="I51" s="22">
        <v>1.792E8</v>
      </c>
    </row>
    <row r="52" ht="15.75" customHeight="1">
      <c r="A52" s="36">
        <v>37027.0</v>
      </c>
      <c r="B52" s="20" t="s">
        <v>267</v>
      </c>
      <c r="C52" s="20" t="s">
        <v>265</v>
      </c>
      <c r="D52" s="20">
        <v>85000.0</v>
      </c>
      <c r="E52" s="20">
        <v>2500.0</v>
      </c>
      <c r="F52" s="20">
        <v>2.125E8</v>
      </c>
      <c r="G52" s="20">
        <v>2125000.0</v>
      </c>
      <c r="H52" s="22">
        <v>1062500.0</v>
      </c>
      <c r="I52" s="22">
        <v>2.156875E8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2023-12-19T05:59:04Z</dcterms:created>
  <dc:creator>OU.PM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0x010100A55D3CD9257D5B44BE1744AD07417D7D</vt:lpwstr>
  </property>
</Properties>
</file>