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Nhap-Mon-Tin-Hoc-TH\BTH\"/>
    </mc:Choice>
  </mc:AlternateContent>
  <xr:revisionPtr revIDLastSave="0" documentId="13_ncr:1_{8A528656-6FCC-4FE1-8807-EA131CA901E2}" xr6:coauthVersionLast="47" xr6:coauthVersionMax="47" xr10:uidLastSave="{00000000-0000-0000-0000-000000000000}"/>
  <bookViews>
    <workbookView xWindow="-108" yWindow="-108" windowWidth="23256" windowHeight="13176" activeTab="10" xr2:uid="{8E08941F-1D49-4636-B2AE-37A49C149DB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Bai8" sheetId="9" r:id="rId9"/>
    <sheet name="Bai9" sheetId="10" r:id="rId10"/>
    <sheet name="Bai10" sheetId="12" r:id="rId11"/>
  </sheets>
  <definedNames>
    <definedName name="_xlnm._FilterDatabase" localSheetId="10" hidden="1">'Bai10'!$A$29:$I$40</definedName>
    <definedName name="_xlnm._FilterDatabase" localSheetId="8" hidden="1">'Bai8'!$B$4:$I$11</definedName>
    <definedName name="_xlnm._FilterDatabase" localSheetId="9" hidden="1">'Bai9'!$A$28:$G$37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2" l="1"/>
  <c r="G39" i="12"/>
  <c r="E39" i="12"/>
  <c r="F39" i="12" s="1"/>
  <c r="G38" i="12"/>
  <c r="E38" i="12"/>
  <c r="F38" i="12" s="1"/>
  <c r="G37" i="12"/>
  <c r="E37" i="12"/>
  <c r="F37" i="12" s="1"/>
  <c r="G36" i="12"/>
  <c r="E36" i="12"/>
  <c r="F36" i="12" s="1"/>
  <c r="G35" i="12"/>
  <c r="E35" i="12"/>
  <c r="F35" i="12" s="1"/>
  <c r="G34" i="12"/>
  <c r="E34" i="12"/>
  <c r="F34" i="12" s="1"/>
  <c r="G33" i="12"/>
  <c r="E33" i="12"/>
  <c r="F33" i="12" s="1"/>
  <c r="H33" i="12" s="1"/>
  <c r="I33" i="12" s="1"/>
  <c r="G32" i="12"/>
  <c r="E32" i="12"/>
  <c r="F32" i="12" s="1"/>
  <c r="G31" i="12"/>
  <c r="E31" i="12"/>
  <c r="F31" i="12" s="1"/>
  <c r="G30" i="12"/>
  <c r="E30" i="12"/>
  <c r="F30" i="12" s="1"/>
  <c r="N10" i="12"/>
  <c r="N9" i="12"/>
  <c r="N8" i="12"/>
  <c r="N7" i="12"/>
  <c r="G3" i="12"/>
  <c r="G4" i="12"/>
  <c r="G5" i="12"/>
  <c r="G6" i="12"/>
  <c r="G7" i="12"/>
  <c r="G8" i="12"/>
  <c r="G9" i="12"/>
  <c r="G10" i="12"/>
  <c r="G11" i="12"/>
  <c r="G2" i="12"/>
  <c r="D12" i="12"/>
  <c r="F10" i="12"/>
  <c r="H10" i="12" s="1"/>
  <c r="E3" i="12"/>
  <c r="F3" i="12" s="1"/>
  <c r="E4" i="12"/>
  <c r="F4" i="12" s="1"/>
  <c r="E5" i="12"/>
  <c r="F5" i="12" s="1"/>
  <c r="E6" i="12"/>
  <c r="F6" i="12" s="1"/>
  <c r="E7" i="12"/>
  <c r="F7" i="12" s="1"/>
  <c r="E8" i="12"/>
  <c r="F8" i="12" s="1"/>
  <c r="H8" i="12" s="1"/>
  <c r="E9" i="12"/>
  <c r="F9" i="12" s="1"/>
  <c r="H9" i="12" s="1"/>
  <c r="I9" i="12" s="1"/>
  <c r="E10" i="12"/>
  <c r="E11" i="12"/>
  <c r="F11" i="12" s="1"/>
  <c r="E2" i="12"/>
  <c r="F2" i="12" s="1"/>
  <c r="E37" i="10"/>
  <c r="D37" i="10"/>
  <c r="C37" i="10"/>
  <c r="E36" i="10"/>
  <c r="D36" i="10"/>
  <c r="C36" i="10"/>
  <c r="E35" i="10"/>
  <c r="D35" i="10"/>
  <c r="C35" i="10"/>
  <c r="E34" i="10"/>
  <c r="F34" i="10" s="1"/>
  <c r="G34" i="10" s="1"/>
  <c r="D34" i="10"/>
  <c r="C34" i="10"/>
  <c r="E33" i="10"/>
  <c r="D33" i="10"/>
  <c r="C33" i="10"/>
  <c r="E32" i="10"/>
  <c r="D32" i="10"/>
  <c r="C32" i="10"/>
  <c r="E31" i="10"/>
  <c r="F31" i="10" s="1"/>
  <c r="G31" i="10" s="1"/>
  <c r="D31" i="10"/>
  <c r="C31" i="10"/>
  <c r="E30" i="10"/>
  <c r="D30" i="10"/>
  <c r="C30" i="10"/>
  <c r="E29" i="10"/>
  <c r="F29" i="10" s="1"/>
  <c r="G29" i="10" s="1"/>
  <c r="D29" i="10"/>
  <c r="C29" i="10"/>
  <c r="E9" i="10"/>
  <c r="F9" i="10" s="1"/>
  <c r="E4" i="10"/>
  <c r="F4" i="10" s="1"/>
  <c r="G4" i="10" s="1"/>
  <c r="E5" i="10"/>
  <c r="F5" i="10" s="1"/>
  <c r="G5" i="10" s="1"/>
  <c r="E2" i="10"/>
  <c r="F2" i="10" s="1"/>
  <c r="G2" i="10" s="1"/>
  <c r="E6" i="10"/>
  <c r="F6" i="10" s="1"/>
  <c r="G6" i="10" s="1"/>
  <c r="E10" i="10"/>
  <c r="F10" i="10" s="1"/>
  <c r="G10" i="10" s="1"/>
  <c r="E7" i="10"/>
  <c r="F7" i="10" s="1"/>
  <c r="G7" i="10" s="1"/>
  <c r="E3" i="10"/>
  <c r="F3" i="10" s="1"/>
  <c r="G3" i="10" s="1"/>
  <c r="E8" i="10"/>
  <c r="F8" i="10" s="1"/>
  <c r="D9" i="10"/>
  <c r="D4" i="10"/>
  <c r="D5" i="10"/>
  <c r="D2" i="10"/>
  <c r="D6" i="10"/>
  <c r="D10" i="10"/>
  <c r="D7" i="10"/>
  <c r="D3" i="10"/>
  <c r="D8" i="10"/>
  <c r="C9" i="10"/>
  <c r="C4" i="10"/>
  <c r="C5" i="10"/>
  <c r="C2" i="10"/>
  <c r="C6" i="10"/>
  <c r="C10" i="10"/>
  <c r="C7" i="10"/>
  <c r="C3" i="10"/>
  <c r="C8" i="10"/>
  <c r="N17" i="9"/>
  <c r="M17" i="9"/>
  <c r="I4" i="9"/>
  <c r="H11" i="9"/>
  <c r="H7" i="9"/>
  <c r="H10" i="9"/>
  <c r="H4" i="9"/>
  <c r="G4" i="9"/>
  <c r="F11" i="9"/>
  <c r="F9" i="9"/>
  <c r="F8" i="9"/>
  <c r="F5" i="9"/>
  <c r="F6" i="9"/>
  <c r="F7" i="9"/>
  <c r="F10" i="9"/>
  <c r="F4" i="9"/>
  <c r="E11" i="9"/>
  <c r="G11" i="9" s="1"/>
  <c r="I11" i="9" s="1"/>
  <c r="E9" i="9"/>
  <c r="G9" i="9" s="1"/>
  <c r="E8" i="9"/>
  <c r="G8" i="9" s="1"/>
  <c r="E5" i="9"/>
  <c r="E6" i="9"/>
  <c r="G6" i="9" s="1"/>
  <c r="E7" i="9"/>
  <c r="G7" i="9" s="1"/>
  <c r="I7" i="9" s="1"/>
  <c r="E10" i="9"/>
  <c r="G10" i="9" s="1"/>
  <c r="I10" i="9" s="1"/>
  <c r="E4" i="9"/>
  <c r="G4" i="8"/>
  <c r="I4" i="8" s="1"/>
  <c r="I11" i="8"/>
  <c r="H9" i="8"/>
  <c r="H8" i="8"/>
  <c r="H11" i="8"/>
  <c r="H4" i="8"/>
  <c r="G9" i="8"/>
  <c r="I9" i="8" s="1"/>
  <c r="G10" i="8"/>
  <c r="H10" i="8" s="1"/>
  <c r="G6" i="8"/>
  <c r="H6" i="8" s="1"/>
  <c r="G5" i="8"/>
  <c r="H5" i="8" s="1"/>
  <c r="G7" i="8"/>
  <c r="H7" i="8" s="1"/>
  <c r="G8" i="8"/>
  <c r="I8" i="8" s="1"/>
  <c r="G11" i="8"/>
  <c r="F9" i="8"/>
  <c r="O6" i="8" s="1"/>
  <c r="F10" i="8"/>
  <c r="F6" i="8"/>
  <c r="O7" i="8" s="1"/>
  <c r="F5" i="8"/>
  <c r="F7" i="8"/>
  <c r="F8" i="8"/>
  <c r="F11" i="8"/>
  <c r="F4" i="8"/>
  <c r="O8" i="8" s="1"/>
  <c r="E9" i="8"/>
  <c r="E10" i="8"/>
  <c r="E6" i="8"/>
  <c r="E5" i="8"/>
  <c r="E7" i="8"/>
  <c r="E8" i="8"/>
  <c r="E11" i="8"/>
  <c r="E4" i="8"/>
  <c r="N16" i="7"/>
  <c r="M16" i="7"/>
  <c r="L16" i="7"/>
  <c r="N15" i="7"/>
  <c r="M15" i="7"/>
  <c r="L15" i="7"/>
  <c r="L14" i="7"/>
  <c r="N14" i="7"/>
  <c r="M14" i="7"/>
  <c r="N11" i="7"/>
  <c r="M11" i="7"/>
  <c r="L11" i="7"/>
  <c r="I3" i="7"/>
  <c r="I10" i="7" s="1"/>
  <c r="I4" i="7"/>
  <c r="I5" i="7"/>
  <c r="I6" i="7"/>
  <c r="I7" i="7"/>
  <c r="I8" i="7"/>
  <c r="I9" i="7"/>
  <c r="I2" i="7"/>
  <c r="H3" i="7"/>
  <c r="H4" i="7"/>
  <c r="H10" i="7" s="1"/>
  <c r="H5" i="7"/>
  <c r="H6" i="7"/>
  <c r="H7" i="7"/>
  <c r="H8" i="7"/>
  <c r="H9" i="7"/>
  <c r="H2" i="7"/>
  <c r="G3" i="7"/>
  <c r="G4" i="7"/>
  <c r="G5" i="7"/>
  <c r="G6" i="7"/>
  <c r="G7" i="7"/>
  <c r="G8" i="7"/>
  <c r="G9" i="7"/>
  <c r="F3" i="7"/>
  <c r="F4" i="7"/>
  <c r="F5" i="7"/>
  <c r="F6" i="7"/>
  <c r="F7" i="7"/>
  <c r="F8" i="7"/>
  <c r="F9" i="7"/>
  <c r="F2" i="7"/>
  <c r="F3" i="5"/>
  <c r="H3" i="5" s="1"/>
  <c r="J3" i="5" s="1"/>
  <c r="N9" i="5" s="1"/>
  <c r="H4" i="5"/>
  <c r="J4" i="5" s="1"/>
  <c r="M9" i="5" s="1"/>
  <c r="J6" i="5"/>
  <c r="C3" i="7"/>
  <c r="C4" i="7"/>
  <c r="C5" i="7"/>
  <c r="C6" i="7"/>
  <c r="C7" i="7"/>
  <c r="C8" i="7"/>
  <c r="C9" i="7"/>
  <c r="C2" i="7"/>
  <c r="S4" i="6"/>
  <c r="R4" i="6"/>
  <c r="Q4" i="6"/>
  <c r="O9" i="5"/>
  <c r="J5" i="5"/>
  <c r="J7" i="5"/>
  <c r="J8" i="5"/>
  <c r="J9" i="5"/>
  <c r="I4" i="5"/>
  <c r="I5" i="5"/>
  <c r="I6" i="5"/>
  <c r="I7" i="5"/>
  <c r="I8" i="5"/>
  <c r="I9" i="5"/>
  <c r="I3" i="5"/>
  <c r="H5" i="5"/>
  <c r="H6" i="5"/>
  <c r="H7" i="5"/>
  <c r="H8" i="5"/>
  <c r="H9" i="5"/>
  <c r="G4" i="5"/>
  <c r="G5" i="5"/>
  <c r="G6" i="5"/>
  <c r="G7" i="5"/>
  <c r="G8" i="5"/>
  <c r="G9" i="5"/>
  <c r="G3" i="5"/>
  <c r="F4" i="5"/>
  <c r="F5" i="5"/>
  <c r="F6" i="5"/>
  <c r="F7" i="5"/>
  <c r="F8" i="5"/>
  <c r="F9" i="5"/>
  <c r="G7" i="6"/>
  <c r="G3" i="6"/>
  <c r="G4" i="6"/>
  <c r="G11" i="6"/>
  <c r="G12" i="6"/>
  <c r="G8" i="6"/>
  <c r="G13" i="6"/>
  <c r="G5" i="6"/>
  <c r="G9" i="6"/>
  <c r="G6" i="6"/>
  <c r="G14" i="6"/>
  <c r="G10" i="6"/>
  <c r="F7" i="6"/>
  <c r="H7" i="6" s="1"/>
  <c r="F3" i="6"/>
  <c r="H3" i="6" s="1"/>
  <c r="F4" i="6"/>
  <c r="F11" i="6"/>
  <c r="H11" i="6" s="1"/>
  <c r="F12" i="6"/>
  <c r="H12" i="6" s="1"/>
  <c r="F8" i="6"/>
  <c r="H8" i="6" s="1"/>
  <c r="F13" i="6"/>
  <c r="H13" i="6" s="1"/>
  <c r="F5" i="6"/>
  <c r="H5" i="6" s="1"/>
  <c r="F9" i="6"/>
  <c r="F6" i="6"/>
  <c r="H6" i="6" s="1"/>
  <c r="F14" i="6"/>
  <c r="F10" i="6"/>
  <c r="H10" i="6" s="1"/>
  <c r="E10" i="6"/>
  <c r="E7" i="6"/>
  <c r="E3" i="6"/>
  <c r="E4" i="6"/>
  <c r="E11" i="6"/>
  <c r="E12" i="6"/>
  <c r="E8" i="6"/>
  <c r="E13" i="6"/>
  <c r="E5" i="6"/>
  <c r="E9" i="6"/>
  <c r="E6" i="6"/>
  <c r="E14" i="6"/>
  <c r="F16" i="4"/>
  <c r="F15" i="4"/>
  <c r="F14" i="4"/>
  <c r="H5" i="4"/>
  <c r="H6" i="4"/>
  <c r="H7" i="4"/>
  <c r="H8" i="4"/>
  <c r="H9" i="4"/>
  <c r="H10" i="4"/>
  <c r="H11" i="4"/>
  <c r="H12" i="4"/>
  <c r="H13" i="4"/>
  <c r="H4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E5" i="4"/>
  <c r="E6" i="4"/>
  <c r="E7" i="4"/>
  <c r="E8" i="4"/>
  <c r="E9" i="4"/>
  <c r="E10" i="4"/>
  <c r="E11" i="4"/>
  <c r="E12" i="4"/>
  <c r="E13" i="4"/>
  <c r="E4" i="4"/>
  <c r="G5" i="3"/>
  <c r="H5" i="3" s="1"/>
  <c r="G6" i="3"/>
  <c r="G7" i="3"/>
  <c r="H7" i="3" s="1"/>
  <c r="G8" i="3"/>
  <c r="G9" i="3"/>
  <c r="G10" i="3"/>
  <c r="H10" i="3" s="1"/>
  <c r="G4" i="3"/>
  <c r="H4" i="3" s="1"/>
  <c r="H6" i="3"/>
  <c r="H8" i="3"/>
  <c r="H9" i="3"/>
  <c r="E11" i="3"/>
  <c r="F11" i="3"/>
  <c r="F5" i="3"/>
  <c r="F6" i="3"/>
  <c r="F7" i="3"/>
  <c r="F8" i="3"/>
  <c r="F9" i="3"/>
  <c r="F10" i="3"/>
  <c r="F4" i="3"/>
  <c r="H12" i="2"/>
  <c r="G12" i="2"/>
  <c r="H6" i="2"/>
  <c r="H7" i="2"/>
  <c r="H8" i="2"/>
  <c r="H9" i="2"/>
  <c r="H10" i="2"/>
  <c r="H11" i="2"/>
  <c r="H5" i="2"/>
  <c r="G6" i="2"/>
  <c r="G7" i="2"/>
  <c r="G8" i="2"/>
  <c r="G9" i="2"/>
  <c r="G10" i="2"/>
  <c r="G11" i="2"/>
  <c r="G5" i="2"/>
  <c r="F4" i="1"/>
  <c r="G4" i="1" s="1"/>
  <c r="F5" i="1"/>
  <c r="G5" i="1" s="1"/>
  <c r="F6" i="1"/>
  <c r="G6" i="1" s="1"/>
  <c r="F7" i="1"/>
  <c r="G7" i="1" s="1"/>
  <c r="F3" i="1"/>
  <c r="H7" i="12" l="1"/>
  <c r="I7" i="12" s="1"/>
  <c r="G40" i="12"/>
  <c r="H34" i="12"/>
  <c r="I34" i="12" s="1"/>
  <c r="H36" i="12"/>
  <c r="I36" i="12" s="1"/>
  <c r="H30" i="12"/>
  <c r="F40" i="12"/>
  <c r="I30" i="12"/>
  <c r="H37" i="12"/>
  <c r="I37" i="12" s="1"/>
  <c r="H31" i="12"/>
  <c r="I31" i="12" s="1"/>
  <c r="H32" i="12"/>
  <c r="I32" i="12" s="1"/>
  <c r="H39" i="12"/>
  <c r="I39" i="12" s="1"/>
  <c r="E40" i="12"/>
  <c r="H38" i="12"/>
  <c r="I38" i="12" s="1"/>
  <c r="H35" i="12"/>
  <c r="I35" i="12" s="1"/>
  <c r="H6" i="12"/>
  <c r="I6" i="12" s="1"/>
  <c r="H5" i="12"/>
  <c r="I5" i="12" s="1"/>
  <c r="H4" i="12"/>
  <c r="I4" i="12" s="1"/>
  <c r="F12" i="12"/>
  <c r="H2" i="12"/>
  <c r="I2" i="12" s="1"/>
  <c r="H11" i="12"/>
  <c r="I11" i="12" s="1"/>
  <c r="H3" i="12"/>
  <c r="I3" i="12" s="1"/>
  <c r="E12" i="12"/>
  <c r="I10" i="12"/>
  <c r="G12" i="12"/>
  <c r="I8" i="12"/>
  <c r="F35" i="10"/>
  <c r="G35" i="10" s="1"/>
  <c r="F32" i="10"/>
  <c r="G32" i="10" s="1"/>
  <c r="F36" i="10"/>
  <c r="G36" i="10" s="1"/>
  <c r="F33" i="10"/>
  <c r="G33" i="10" s="1"/>
  <c r="F30" i="10"/>
  <c r="G30" i="10" s="1"/>
  <c r="F37" i="10"/>
  <c r="G37" i="10" s="1"/>
  <c r="G8" i="10"/>
  <c r="L15" i="10"/>
  <c r="G9" i="10"/>
  <c r="J15" i="10"/>
  <c r="K15" i="10"/>
  <c r="K12" i="10"/>
  <c r="L12" i="10"/>
  <c r="G5" i="9"/>
  <c r="N16" i="9"/>
  <c r="N15" i="9"/>
  <c r="M15" i="9"/>
  <c r="L17" i="9"/>
  <c r="L16" i="9"/>
  <c r="H6" i="9"/>
  <c r="I6" i="9" s="1"/>
  <c r="H5" i="9"/>
  <c r="I5" i="9" s="1"/>
  <c r="M16" i="9" s="1"/>
  <c r="H8" i="9"/>
  <c r="I8" i="9" s="1"/>
  <c r="H9" i="9"/>
  <c r="I9" i="9" s="1"/>
  <c r="L15" i="9" s="1"/>
  <c r="N12" i="9"/>
  <c r="M12" i="9"/>
  <c r="L12" i="9"/>
  <c r="N6" i="8"/>
  <c r="M6" i="8"/>
  <c r="M7" i="8"/>
  <c r="M8" i="8"/>
  <c r="N7" i="8"/>
  <c r="N8" i="8"/>
  <c r="I7" i="8"/>
  <c r="D24" i="8" s="1"/>
  <c r="I5" i="8"/>
  <c r="I6" i="8"/>
  <c r="I10" i="8"/>
  <c r="B24" i="8"/>
  <c r="C24" i="8"/>
  <c r="F10" i="7"/>
  <c r="G2" i="7"/>
  <c r="G10" i="7" s="1"/>
  <c r="H9" i="6"/>
  <c r="H14" i="6"/>
  <c r="H4" i="6"/>
  <c r="H11" i="3"/>
  <c r="G11" i="3"/>
  <c r="F8" i="1"/>
  <c r="G3" i="1"/>
  <c r="G8" i="1" s="1"/>
  <c r="I40" i="12" l="1"/>
  <c r="H40" i="12"/>
  <c r="I12" i="12"/>
  <c r="H12" i="12"/>
  <c r="J12" i="10"/>
</calcChain>
</file>

<file path=xl/sharedStrings.xml><?xml version="1.0" encoding="utf-8"?>
<sst xmlns="http://schemas.openxmlformats.org/spreadsheetml/2006/main" count="487" uniqueCount="261">
  <si>
    <t>CỬA HÀNG VẬT TƯ</t>
  </si>
  <si>
    <t>STT</t>
  </si>
  <si>
    <t>Tên vật tư</t>
  </si>
  <si>
    <t>Đơn vị</t>
  </si>
  <si>
    <t>Số lượng</t>
  </si>
  <si>
    <t>Đơn giá</t>
  </si>
  <si>
    <t>Chuyên chở</t>
  </si>
  <si>
    <t>Thành tiền</t>
  </si>
  <si>
    <t>Cát</t>
  </si>
  <si>
    <t>Khối</t>
  </si>
  <si>
    <t>Đá</t>
  </si>
  <si>
    <t>Gạch ống</t>
  </si>
  <si>
    <t>Viên</t>
  </si>
  <si>
    <t>Sắt</t>
  </si>
  <si>
    <t>Kg</t>
  </si>
  <si>
    <t>Xi măng</t>
  </si>
  <si>
    <t>Bao</t>
  </si>
  <si>
    <t>Tổng cộng</t>
  </si>
  <si>
    <t>BẢNG THANH TOÁN LƯƠNG THÁNH</t>
  </si>
  <si>
    <t>MPC</t>
  </si>
  <si>
    <t>MLCB</t>
  </si>
  <si>
    <t>Họ và tên</t>
  </si>
  <si>
    <t>Chức vụ</t>
  </si>
  <si>
    <t>LCB</t>
  </si>
  <si>
    <t>PCTN</t>
  </si>
  <si>
    <t>PCCV</t>
  </si>
  <si>
    <t>Thưởng</t>
  </si>
  <si>
    <t>Thực lãnh</t>
  </si>
  <si>
    <t>Nguyễn Vũ Lân</t>
  </si>
  <si>
    <t>HT</t>
  </si>
  <si>
    <t>Huỳnh Thúy Anh</t>
  </si>
  <si>
    <t>HP</t>
  </si>
  <si>
    <t>Ngô Thanh Vân</t>
  </si>
  <si>
    <t>TP</t>
  </si>
  <si>
    <t>Nguyễn Thị hà</t>
  </si>
  <si>
    <t>PP</t>
  </si>
  <si>
    <t>Hồ Minh Tâm</t>
  </si>
  <si>
    <t>NV</t>
  </si>
  <si>
    <t>Trần Hiếu Trung</t>
  </si>
  <si>
    <t>GV</t>
  </si>
  <si>
    <t>Lê Thùy Vân</t>
  </si>
  <si>
    <t>BẢNG THANH TOÁN LƯƠNG THÁNG</t>
  </si>
  <si>
    <t>TỔNG QUỸ LƯƠNG</t>
  </si>
  <si>
    <t>NLV</t>
  </si>
  <si>
    <t>Lương</t>
  </si>
  <si>
    <t>Lê Xuân Anh</t>
  </si>
  <si>
    <t>GD</t>
  </si>
  <si>
    <t>Trần Thế Mỹ</t>
  </si>
  <si>
    <t>PG</t>
  </si>
  <si>
    <t>Lê Văn Hòa</t>
  </si>
  <si>
    <t>Võ Thế Hùng</t>
  </si>
  <si>
    <t>Lê Ngọc Hạnh</t>
  </si>
  <si>
    <t>Trần Văn Tính</t>
  </si>
  <si>
    <t>Phạm Thùy Vân</t>
  </si>
  <si>
    <t>TỔNG:</t>
  </si>
  <si>
    <t>BẢNG ĐIỂM THI CUỐI KHÓA</t>
  </si>
  <si>
    <t>Môn thi: Lập trình Căn bản</t>
  </si>
  <si>
    <t>TT</t>
  </si>
  <si>
    <t>Họ tên</t>
  </si>
  <si>
    <t>Thực
hành</t>
  </si>
  <si>
    <t>Lý
thuyết</t>
  </si>
  <si>
    <t>Điểm</t>
  </si>
  <si>
    <t>Kết
quả</t>
  </si>
  <si>
    <t>Xếp
loại</t>
  </si>
  <si>
    <t>Xếp
hạng</t>
  </si>
  <si>
    <t>Nguyễn Hữu An</t>
  </si>
  <si>
    <t>Phạm Vũ Bảo</t>
  </si>
  <si>
    <t>Lê Minh Chương</t>
  </si>
  <si>
    <t>Võ Phong Phú</t>
  </si>
  <si>
    <t>Nguyễn Hải Minh</t>
  </si>
  <si>
    <t>Nguyễn Quý Sơn</t>
  </si>
  <si>
    <t>Mai Công Tâm</t>
  </si>
  <si>
    <t>Nguyễn Thanh Tùng</t>
  </si>
  <si>
    <t>Huỳnh Trung Tuấn</t>
  </si>
  <si>
    <t>Điểm trung bình</t>
  </si>
  <si>
    <t>Điểm lớn nhất</t>
  </si>
  <si>
    <t>Điểm bé nhất</t>
  </si>
  <si>
    <t>TÌNH HÌNH KINH DOANH THÁNG 07/2010</t>
  </si>
  <si>
    <t>Số TT</t>
  </si>
  <si>
    <t>Tên
khách</t>
  </si>
  <si>
    <t>Loại
phòng</t>
  </si>
  <si>
    <t>Ngày đến</t>
  </si>
  <si>
    <t>Ngày đi</t>
  </si>
  <si>
    <t>Số tuần</t>
  </si>
  <si>
    <t>Số ngày lẻ</t>
  </si>
  <si>
    <t>Tính tiền
theo tuần</t>
  </si>
  <si>
    <t>Tính tiền
theo ngày</t>
  </si>
  <si>
    <t>Bảng giá</t>
  </si>
  <si>
    <t>Đơn giá
tuần</t>
  </si>
  <si>
    <t>Đơn giá
ngày lẻ</t>
  </si>
  <si>
    <t>Thành</t>
  </si>
  <si>
    <t>B</t>
  </si>
  <si>
    <t>A</t>
  </si>
  <si>
    <t>Tân</t>
  </si>
  <si>
    <t>Thảo</t>
  </si>
  <si>
    <t>C</t>
  </si>
  <si>
    <t>Hải</t>
  </si>
  <si>
    <t>Trí</t>
  </si>
  <si>
    <t>Hùng</t>
  </si>
  <si>
    <t>Loại phòng</t>
  </si>
  <si>
    <t>Dung</t>
  </si>
  <si>
    <t>Doanh thu</t>
  </si>
  <si>
    <t>HỌ LÓT</t>
  </si>
  <si>
    <t>TÊN</t>
  </si>
  <si>
    <t>MÃ DL</t>
  </si>
  <si>
    <t>TÊN ĐỊA
PHƯƠNG</t>
  </si>
  <si>
    <t>GIÁ VÉ</t>
  </si>
  <si>
    <t>CHI PHÍ</t>
  </si>
  <si>
    <t>TỔNG CỘNG</t>
  </si>
  <si>
    <t>Lê Minh</t>
  </si>
  <si>
    <t>Chương</t>
  </si>
  <si>
    <t>ĐLB</t>
  </si>
  <si>
    <t>MÃ ĐP</t>
  </si>
  <si>
    <t>TÊN ĐỊA PHƯƠNG</t>
  </si>
  <si>
    <t>CHI PHÍ A</t>
  </si>
  <si>
    <t>CHI PHÍ B</t>
  </si>
  <si>
    <t>VT</t>
  </si>
  <si>
    <t>NT</t>
  </si>
  <si>
    <t>ĐL</t>
  </si>
  <si>
    <t>Võ Phong</t>
  </si>
  <si>
    <t>Phú</t>
  </si>
  <si>
    <t>ĐLA</t>
  </si>
  <si>
    <t>VŨNG TÀU</t>
  </si>
  <si>
    <t>Huỳnh Trung</t>
  </si>
  <si>
    <t>Tuấn</t>
  </si>
  <si>
    <t>NHA TRANG</t>
  </si>
  <si>
    <t>Nguyễn Hữu</t>
  </si>
  <si>
    <t>Hạnh</t>
  </si>
  <si>
    <t>ĐÀ LẠT</t>
  </si>
  <si>
    <t>Phạm Vũ</t>
  </si>
  <si>
    <t>Bảo</t>
  </si>
  <si>
    <t>NTB</t>
  </si>
  <si>
    <t>Mai Công</t>
  </si>
  <si>
    <t>Tâm</t>
  </si>
  <si>
    <t>Lê Thùy</t>
  </si>
  <si>
    <t>Vân</t>
  </si>
  <si>
    <t>NTA</t>
  </si>
  <si>
    <t>An</t>
  </si>
  <si>
    <t>VTA</t>
  </si>
  <si>
    <t>Nguyễn Hải</t>
  </si>
  <si>
    <t>Minh</t>
  </si>
  <si>
    <t>VTB</t>
  </si>
  <si>
    <t>Nguyễn Quý</t>
  </si>
  <si>
    <t>Sơn</t>
  </si>
  <si>
    <t>Nguyễn Thanh</t>
  </si>
  <si>
    <t>Tùng</t>
  </si>
  <si>
    <t>Trần Trung</t>
  </si>
  <si>
    <t>Hiếu</t>
  </si>
  <si>
    <t>MÃ HÀNG</t>
  </si>
  <si>
    <t>TÊN
HÀNG</t>
  </si>
  <si>
    <t>NGÀY
BÁN</t>
  </si>
  <si>
    <t>SỐ
LƯỢNG</t>
  </si>
  <si>
    <t>TRỊ GIÁ</t>
  </si>
  <si>
    <t>THUẾ</t>
  </si>
  <si>
    <t>HUÊ HỒNG</t>
  </si>
  <si>
    <t>THU</t>
  </si>
  <si>
    <t>TV</t>
  </si>
  <si>
    <t>Bảng 1</t>
  </si>
  <si>
    <t>Bảng 2</t>
  </si>
  <si>
    <t>TL</t>
  </si>
  <si>
    <t>THỜI ĐIỂM</t>
  </si>
  <si>
    <t>MG</t>
  </si>
  <si>
    <t>TÊN HÀNG</t>
  </si>
  <si>
    <t>TIVI</t>
  </si>
  <si>
    <t>TỦ LẠNH</t>
  </si>
  <si>
    <t>MÁY GIẶT</t>
  </si>
  <si>
    <t>TỶ LỆ THUẾ</t>
  </si>
  <si>
    <t>TỔNG</t>
  </si>
  <si>
    <t>TI VI</t>
  </si>
  <si>
    <t>DOANH THU</t>
  </si>
  <si>
    <t>THÁNG 10</t>
  </si>
  <si>
    <t>THÁNG 11</t>
  </si>
  <si>
    <t>THÁNG 12</t>
  </si>
  <si>
    <t>Công ty Du lịch QUÊ HƯƠNG</t>
  </si>
  <si>
    <t>BÁO CÁO DOANH THU QUÝ 4/2008</t>
  </si>
  <si>
    <t>TÊN KHÁCH HÀNG</t>
  </si>
  <si>
    <t>MÃ SỐ</t>
  </si>
  <si>
    <t>TÊN XE</t>
  </si>
  <si>
    <t>THÀNH
TIỀN</t>
  </si>
  <si>
    <t>GIẢM
GIÁ</t>
  </si>
  <si>
    <t>CTY HOA HỒNG</t>
  </si>
  <si>
    <t>HVTA</t>
  </si>
  <si>
    <t>XN IN Q.5</t>
  </si>
  <si>
    <t>HNTB</t>
  </si>
  <si>
    <t>XN GIÀY DA Q.1</t>
  </si>
  <si>
    <t>MNTB</t>
  </si>
  <si>
    <t>TOYOTA</t>
  </si>
  <si>
    <t>CTY PHÁT ĐẠT</t>
  </si>
  <si>
    <t>MĐLB</t>
  </si>
  <si>
    <t>MERCEDES</t>
  </si>
  <si>
    <t>CTY THỊNH PHÁT</t>
  </si>
  <si>
    <t>MVTA</t>
  </si>
  <si>
    <t>HUYNDAI</t>
  </si>
  <si>
    <t>XN MAY SAIGON</t>
  </si>
  <si>
    <t>TĐLA</t>
  </si>
  <si>
    <t>CTY NHẬT TÂN</t>
  </si>
  <si>
    <t>TVTB</t>
  </si>
  <si>
    <t>XN IN KHẢI HOÀN</t>
  </si>
  <si>
    <t>TNTA</t>
  </si>
  <si>
    <t>MÃ XE</t>
  </si>
  <si>
    <t>T</t>
  </si>
  <si>
    <t>M</t>
  </si>
  <si>
    <t>H</t>
  </si>
  <si>
    <t>MÃ ĐỊA PHƯƠNG</t>
  </si>
  <si>
    <t>TỔNG THU</t>
  </si>
  <si>
    <t>GIẢM GIÁ</t>
  </si>
  <si>
    <t>MÃ DU LỊCH</t>
  </si>
  <si>
    <t>ĐỊA ĐIỂM
DU LỊCH</t>
  </si>
  <si>
    <t>PHƯƠNG TIỆN
LOẠI DV</t>
  </si>
  <si>
    <t>PHỤ THU</t>
  </si>
  <si>
    <t>TỔNG TIỀN</t>
  </si>
  <si>
    <t>NTX1N</t>
  </si>
  <si>
    <t>MÁY BAY</t>
  </si>
  <si>
    <t>XE DU LỊCH</t>
  </si>
  <si>
    <t>NTX1V</t>
  </si>
  <si>
    <t>LOẠI 1</t>
  </si>
  <si>
    <t>LOẠI 2</t>
  </si>
  <si>
    <t>HNB2V</t>
  </si>
  <si>
    <t>HNB1N</t>
  </si>
  <si>
    <t>ĐLX1N</t>
  </si>
  <si>
    <t>HN</t>
  </si>
  <si>
    <t>HÀ NỘI</t>
  </si>
  <si>
    <t>HNX1V</t>
  </si>
  <si>
    <t>NTB2V</t>
  </si>
  <si>
    <t>MÃ PT</t>
  </si>
  <si>
    <t>X</t>
  </si>
  <si>
    <t>HNX2V</t>
  </si>
  <si>
    <t>PHƯƠNG TIỆN</t>
  </si>
  <si>
    <t>ĐLB2V</t>
  </si>
  <si>
    <t>TỔNG SỐ KHÁCH</t>
  </si>
  <si>
    <t>Ngày</t>
  </si>
  <si>
    <t>Số CT</t>
  </si>
  <si>
    <t>Mã hàng</t>
  </si>
  <si>
    <t>Số lượng
(kg)</t>
  </si>
  <si>
    <t>Đơn giá
(VNĐ)</t>
  </si>
  <si>
    <t>Trị giá
hàng</t>
  </si>
  <si>
    <t>Vận
chuyển</t>
  </si>
  <si>
    <t>Thuế</t>
  </si>
  <si>
    <t>DN-005</t>
  </si>
  <si>
    <t>LD-001</t>
  </si>
  <si>
    <t>TN-002</t>
  </si>
  <si>
    <t>LD-002</t>
  </si>
  <si>
    <t>TN-004</t>
  </si>
  <si>
    <t>SB-012</t>
  </si>
  <si>
    <t>TN-005</t>
  </si>
  <si>
    <t>LD-004</t>
  </si>
  <si>
    <t>LD-005</t>
  </si>
  <si>
    <t>DN-012</t>
  </si>
  <si>
    <t>N-15</t>
  </si>
  <si>
    <t>N-20</t>
  </si>
  <si>
    <t>X-05</t>
  </si>
  <si>
    <t>X-10</t>
  </si>
  <si>
    <t>Bảng chi phí</t>
  </si>
  <si>
    <t>Khu vực</t>
  </si>
  <si>
    <t>Giá vận chuyển
(1 kg hàng)</t>
  </si>
  <si>
    <t>DN</t>
  </si>
  <si>
    <t>LD</t>
  </si>
  <si>
    <t>SB</t>
  </si>
  <si>
    <t>TN</t>
  </si>
  <si>
    <t>Tổng cộng
vận chuyển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</si>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</sst>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/mm/yy"/>
    <numFmt numFmtId="166" formatCode="dd/mm/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"/>
    </font>
    <font>
      <sz val="11"/>
      <color theme="1"/>
      <name val="Arial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2" fontId="0" fillId="0" borderId="7" xfId="0" applyNumberForma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1" xfId="0" applyFont="1" applyBorder="1"/>
    <xf numFmtId="0" fontId="2" fillId="0" borderId="9" xfId="0" applyFont="1" applyBorder="1"/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/>
    <xf numFmtId="0" fontId="5" fillId="0" borderId="0" xfId="0" applyFont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/>
    <xf numFmtId="0" fontId="3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166" fontId="6" fillId="0" borderId="1" xfId="0" applyNumberFormat="1" applyFont="1" applyBorder="1"/>
    <xf numFmtId="0" fontId="6" fillId="0" borderId="1" xfId="0" applyFont="1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SỐ LƯỢNG BÁN HÀNG TRONG TỪNG THÁNG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Sheet7!$K$14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Sheet7!$L$13:$N$13</c:f>
              <c:strCache>
                <c:ptCount val="3"/>
                <c:pt idx="0">
                  <c:v>THÁNG 10</c:v>
                </c:pt>
                <c:pt idx="1">
                  <c:v>THÁNG 11</c:v>
                </c:pt>
                <c:pt idx="2">
                  <c:v>THÁNG 12</c:v>
                </c:pt>
              </c:strCache>
            </c:strRef>
          </c:cat>
          <c:val>
            <c:numRef>
              <c:f>Sheet7!$L$14:$N$14</c:f>
              <c:numCache>
                <c:formatCode>General</c:formatCode>
                <c:ptCount val="3"/>
                <c:pt idx="0">
                  <c:v>30</c:v>
                </c:pt>
                <c:pt idx="1">
                  <c:v>20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B-4095-A5B7-FFC32C5D4855}"/>
            </c:ext>
          </c:extLst>
        </c:ser>
        <c:ser>
          <c:idx val="1"/>
          <c:order val="1"/>
          <c:tx>
            <c:strRef>
              <c:f>Sheet7!$K$15</c:f>
              <c:strCache>
                <c:ptCount val="1"/>
                <c:pt idx="0">
                  <c:v>TL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Sheet7!$L$13:$N$13</c:f>
              <c:strCache>
                <c:ptCount val="3"/>
                <c:pt idx="0">
                  <c:v>THÁNG 10</c:v>
                </c:pt>
                <c:pt idx="1">
                  <c:v>THÁNG 11</c:v>
                </c:pt>
                <c:pt idx="2">
                  <c:v>THÁNG 12</c:v>
                </c:pt>
              </c:strCache>
            </c:strRef>
          </c:cat>
          <c:val>
            <c:numRef>
              <c:f>Sheet7!$L$15:$N$15</c:f>
              <c:numCache>
                <c:formatCode>General</c:formatCode>
                <c:ptCount val="3"/>
                <c:pt idx="0">
                  <c:v>20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B-4095-A5B7-FFC32C5D4855}"/>
            </c:ext>
          </c:extLst>
        </c:ser>
        <c:ser>
          <c:idx val="2"/>
          <c:order val="2"/>
          <c:tx>
            <c:strRef>
              <c:f>Sheet7!$K$16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Sheet7!$L$13:$N$13</c:f>
              <c:strCache>
                <c:ptCount val="3"/>
                <c:pt idx="0">
                  <c:v>THÁNG 10</c:v>
                </c:pt>
                <c:pt idx="1">
                  <c:v>THÁNG 11</c:v>
                </c:pt>
                <c:pt idx="2">
                  <c:v>THÁNG 12</c:v>
                </c:pt>
              </c:strCache>
            </c:strRef>
          </c:cat>
          <c:val>
            <c:numRef>
              <c:f>Sheet7!$L$16:$N$16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B-4095-A5B7-FFC32C5D4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684159"/>
        <c:axId val="1087663711"/>
      </c:barChart>
      <c:catAx>
        <c:axId val="108968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63711"/>
        <c:crosses val="autoZero"/>
        <c:auto val="1"/>
        <c:lblAlgn val="ctr"/>
        <c:lblOffset val="100"/>
        <c:noMultiLvlLbl val="0"/>
      </c:catAx>
      <c:valAx>
        <c:axId val="10876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8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BIỂU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ĐỒ THỂ HIỆN TỔNG THU TỪNG ĐỊA PHƯƠNG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Sheet8!$A$24</c:f>
              <c:strCache>
                <c:ptCount val="1"/>
                <c:pt idx="0">
                  <c:v>TỔNG THU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Sheet8!$B$23:$D$23</c:f>
              <c:strCache>
                <c:ptCount val="3"/>
                <c:pt idx="0">
                  <c:v>VT</c:v>
                </c:pt>
                <c:pt idx="1">
                  <c:v>NT</c:v>
                </c:pt>
                <c:pt idx="2">
                  <c:v>ĐL</c:v>
                </c:pt>
              </c:strCache>
            </c:strRef>
          </c:cat>
          <c:val>
            <c:numRef>
              <c:f>Sheet8!$B$24:$D$24</c:f>
              <c:numCache>
                <c:formatCode>General</c:formatCode>
                <c:ptCount val="3"/>
                <c:pt idx="0">
                  <c:v>6050000</c:v>
                </c:pt>
                <c:pt idx="1">
                  <c:v>7160000</c:v>
                </c:pt>
                <c:pt idx="2">
                  <c:v>4980000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F-477F-A063-4E07CE892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543583"/>
        <c:axId val="1883303359"/>
      </c:barChart>
      <c:catAx>
        <c:axId val="182154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03359"/>
        <c:crosses val="autoZero"/>
        <c:auto val="1"/>
        <c:lblAlgn val="ctr"/>
        <c:lblOffset val="100"/>
        <c:noMultiLvlLbl val="0"/>
      </c:catAx>
      <c:valAx>
        <c:axId val="18833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4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'Bai9'!$I$15</c:f>
              <c:strCache>
                <c:ptCount val="1"/>
                <c:pt idx="0">
                  <c:v>TỔNG SỐ KHÁCH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'Bai9'!$J$14:$L$14</c:f>
              <c:strCache>
                <c:ptCount val="3"/>
                <c:pt idx="0">
                  <c:v>NHA TRANG</c:v>
                </c:pt>
                <c:pt idx="1">
                  <c:v>ĐÀ LẠT</c:v>
                </c:pt>
                <c:pt idx="2">
                  <c:v>HÀ NỘI</c:v>
                </c:pt>
              </c:strCache>
            </c:strRef>
          </c:cat>
          <c:val>
            <c:numRef>
              <c:f>'Bai9'!$J$15:$L$15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7-47BA-9DDA-75EA4A356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803952"/>
        <c:axId val="1819809360"/>
      </c:barChart>
      <c:catAx>
        <c:axId val="18198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09360"/>
        <c:crosses val="autoZero"/>
        <c:auto val="1"/>
        <c:lblAlgn val="ctr"/>
        <c:lblOffset val="100"/>
        <c:noMultiLvlLbl val="0"/>
      </c:catAx>
      <c:valAx>
        <c:axId val="18198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'Bai10'!$N$6</c:f>
              <c:strCache>
                <c:ptCount val="1"/>
                <c:pt idx="0">
                  <c:v>Tổng cộng
vận chuyển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'Bai10'!$K$7:$K$10</c:f>
              <c:strCache>
                <c:ptCount val="4"/>
                <c:pt idx="0">
                  <c:v>DN</c:v>
                </c:pt>
                <c:pt idx="1">
                  <c:v>LD</c:v>
                </c:pt>
                <c:pt idx="2">
                  <c:v>SB</c:v>
                </c:pt>
                <c:pt idx="3">
                  <c:v>TN</c:v>
                </c:pt>
              </c:strCache>
            </c:strRef>
          </c:cat>
          <c:val>
            <c:numRef>
              <c:f>'Bai10'!$N$7:$N$10</c:f>
              <c:numCache>
                <c:formatCode>General</c:formatCode>
                <c:ptCount val="4"/>
                <c:pt idx="0">
                  <c:v>8387500</c:v>
                </c:pt>
                <c:pt idx="1">
                  <c:v>21300000</c:v>
                </c:pt>
                <c:pt idx="2">
                  <c:v>1875000</c:v>
                </c:pt>
                <c:pt idx="3">
                  <c:v>6220000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2-4C53-BA43-EFC5991D0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030576"/>
        <c:axId val="1570040144"/>
      </c:barChart>
      <c:catAx>
        <c:axId val="15700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40144"/>
        <c:crosses val="autoZero"/>
        <c:auto val="1"/>
        <c:lblAlgn val="ctr"/>
        <c:lblOffset val="100"/>
        <c:noMultiLvlLbl val="0"/>
      </c:catAx>
      <c:valAx>
        <c:axId val="15700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3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132522</xdr:colOff>
      <xdr:row>11</xdr:row>
      <xdr:rowOff>177248</xdr:rowOff>
    </xdr:from>
    <xdr:to>
      <xdr:col>9</xdr:col>
      <xdr:colOff>381000</xdr:colOff>
      <xdr:row>27</xdr:row>
      <xdr:rowOff>4970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2973B-F8A5-A2C7-4858-0ADE838B8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374432</xdr:colOff>
      <xdr:row>11</xdr:row>
      <xdr:rowOff>181961</xdr:rowOff>
    </xdr:from>
    <xdr:to>
      <xdr:col>13</xdr:col>
      <xdr:colOff>282467</xdr:colOff>
      <xdr:row>26</xdr:row>
      <xdr:rowOff>67661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549CA-ACF1-280E-B6FF-6F33112FD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</xdr:row>
      <xdr:rowOff>161192</xdr:rowOff>
    </xdr:from>
    <xdr:to>
      <xdr:col>6</xdr:col>
      <xdr:colOff>143608</xdr:colOff>
      <xdr:row>26</xdr:row>
      <xdr:rowOff>90854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2EEDF-FED2-4768-9311-51924ED16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438807</xdr:colOff>
      <xdr:row>12</xdr:row>
      <xdr:rowOff>70945</xdr:rowOff>
    </xdr:from>
    <xdr:to>
      <xdr:col>7</xdr:col>
      <xdr:colOff>249621</xdr:colOff>
      <xdr:row>27</xdr:row>
      <xdr:rowOff>55180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78D8E-AAC0-49D3-97C8-1EAF9E258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8665-D04E-4891-83AF-96E68B908BD9}">
  <dimension ref="A1:G8"/>
  <sheetViews>
    <sheetView zoomScale="145" zoomScaleNormal="145" workbookViewId="0">
      <selection activeCell="G18" sqref="G18"/>
    </sheetView>
  </sheetViews>
  <sheetFormatPr defaultRowHeight="14.4" x14ac:dyDescent="0.3"/>
  <cols>
    <col min="1" max="1" width="4" bestFit="1" customWidth="1"/>
    <col min="2" max="2" width="10" bestFit="1" customWidth="1"/>
    <col min="3" max="3" width="7" bestFit="1" customWidth="1"/>
    <col min="4" max="4" width="9.109375" bestFit="1" customWidth="1"/>
    <col min="5" max="5" width="8" bestFit="1" customWidth="1"/>
    <col min="6" max="6" width="11.5546875" bestFit="1" customWidth="1"/>
    <col min="7" max="7" width="10.44140625" bestFit="1" customWidth="1"/>
  </cols>
  <sheetData>
    <row r="1" spans="1:7" x14ac:dyDescent="0.3">
      <c r="A1" s="45" t="s">
        <v>0</v>
      </c>
      <c r="B1" s="45"/>
      <c r="C1" s="45"/>
      <c r="D1" s="45"/>
      <c r="E1" s="45"/>
      <c r="F1" s="45"/>
      <c r="G1" s="45"/>
    </row>
    <row r="2" spans="1:7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 x14ac:dyDescent="0.3">
      <c r="A3" s="1">
        <v>1</v>
      </c>
      <c r="B3" s="1" t="s">
        <v>8</v>
      </c>
      <c r="C3" s="1" t="s">
        <v>9</v>
      </c>
      <c r="D3" s="1">
        <v>50</v>
      </c>
      <c r="E3" s="1">
        <v>60000</v>
      </c>
      <c r="F3" s="1">
        <f>E3*D3*0.5%</f>
        <v>15000</v>
      </c>
      <c r="G3" s="1">
        <f>D3*E3+F3</f>
        <v>3015000</v>
      </c>
    </row>
    <row r="4" spans="1:7" x14ac:dyDescent="0.3">
      <c r="A4" s="1">
        <v>2</v>
      </c>
      <c r="B4" s="1" t="s">
        <v>10</v>
      </c>
      <c r="C4" s="1" t="s">
        <v>9</v>
      </c>
      <c r="D4" s="1">
        <v>40</v>
      </c>
      <c r="E4" s="1">
        <v>100000</v>
      </c>
      <c r="F4" s="1">
        <f>E4*D4*0.5%</f>
        <v>20000</v>
      </c>
      <c r="G4" s="1">
        <f>D4*E4+F4</f>
        <v>4020000</v>
      </c>
    </row>
    <row r="5" spans="1:7" x14ac:dyDescent="0.3">
      <c r="A5" s="1">
        <v>3</v>
      </c>
      <c r="B5" s="1" t="s">
        <v>11</v>
      </c>
      <c r="C5" s="1" t="s">
        <v>12</v>
      </c>
      <c r="D5" s="1">
        <v>4000</v>
      </c>
      <c r="E5" s="1">
        <v>350</v>
      </c>
      <c r="F5" s="1">
        <f>E5*D5*0.5%</f>
        <v>7000</v>
      </c>
      <c r="G5" s="1">
        <f>D5*E5+F5</f>
        <v>1407000</v>
      </c>
    </row>
    <row r="6" spans="1:7" x14ac:dyDescent="0.3">
      <c r="A6" s="1">
        <v>4</v>
      </c>
      <c r="B6" s="1" t="s">
        <v>13</v>
      </c>
      <c r="C6" s="1" t="s">
        <v>14</v>
      </c>
      <c r="D6" s="1">
        <v>150</v>
      </c>
      <c r="E6" s="1">
        <v>3600</v>
      </c>
      <c r="F6" s="1">
        <f>E6*D6*0.5%</f>
        <v>2700</v>
      </c>
      <c r="G6" s="1">
        <f>D6*E6+F6</f>
        <v>542700</v>
      </c>
    </row>
    <row r="7" spans="1:7" x14ac:dyDescent="0.3">
      <c r="A7" s="1">
        <v>5</v>
      </c>
      <c r="B7" s="1" t="s">
        <v>15</v>
      </c>
      <c r="C7" s="1" t="s">
        <v>16</v>
      </c>
      <c r="D7" s="1">
        <v>200</v>
      </c>
      <c r="E7" s="1">
        <v>45000</v>
      </c>
      <c r="F7" s="1">
        <f>E7*D7*0.5%</f>
        <v>45000</v>
      </c>
      <c r="G7" s="1">
        <f>D7*E7+F7</f>
        <v>9045000</v>
      </c>
    </row>
    <row r="8" spans="1:7" x14ac:dyDescent="0.3">
      <c r="A8" s="1"/>
      <c r="B8" s="46" t="s">
        <v>17</v>
      </c>
      <c r="C8" s="47"/>
      <c r="D8" s="47"/>
      <c r="E8" s="48"/>
      <c r="F8" s="9">
        <f>SUM(F3:F7)</f>
        <v>89700</v>
      </c>
      <c r="G8" s="9">
        <f>SUM(G3:G7)</f>
        <v>18029700</v>
      </c>
    </row>
  </sheetData>
  <mergeCells count="2">
    <mergeCell ref="A1:G1"/>
    <mergeCell ref="B8:E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5379-1614-4006-81FB-7AE9AF0E4784}">
  <sheetPr filterMode="1"/>
  <dimension ref="A1:N37"/>
  <sheetViews>
    <sheetView topLeftCell="A10" zoomScale="130" zoomScaleNormal="130" workbookViewId="0">
      <selection activeCell="I28" sqref="I28"/>
    </sheetView>
  </sheetViews>
  <sheetFormatPr defaultColWidth="9.109375" defaultRowHeight="13.8" x14ac:dyDescent="0.25"/>
  <cols>
    <col min="1" max="1" width="4" style="38" bestFit="1" customWidth="1"/>
    <col min="2" max="2" width="13.6640625" style="38" bestFit="1" customWidth="1"/>
    <col min="3" max="3" width="12.88671875" style="38" customWidth="1"/>
    <col min="4" max="4" width="16.33203125" style="38" customWidth="1"/>
    <col min="5" max="5" width="9.5546875" style="38" bestFit="1" customWidth="1"/>
    <col min="6" max="6" width="10.88671875" style="38" bestFit="1" customWidth="1"/>
    <col min="7" max="7" width="13.109375" style="38" bestFit="1" customWidth="1"/>
    <col min="8" max="8" width="9.109375" style="38"/>
    <col min="9" max="9" width="18" style="38" bestFit="1" customWidth="1"/>
    <col min="10" max="10" width="12.77734375" style="38" bestFit="1" customWidth="1"/>
    <col min="11" max="11" width="13.109375" style="38" bestFit="1" customWidth="1"/>
    <col min="12" max="12" width="9.88671875" style="38" bestFit="1" customWidth="1"/>
    <col min="13" max="14" width="9.44140625" style="38" bestFit="1" customWidth="1"/>
    <col min="15" max="16384" width="9.109375" style="38"/>
  </cols>
  <sheetData>
    <row r="1" spans="1:14" s="35" customFormat="1" ht="27.6" x14ac:dyDescent="0.3">
      <c r="A1" s="33" t="s">
        <v>57</v>
      </c>
      <c r="B1" s="44" t="s">
        <v>206</v>
      </c>
      <c r="C1" s="34" t="s">
        <v>207</v>
      </c>
      <c r="D1" s="34" t="s">
        <v>208</v>
      </c>
      <c r="E1" s="33" t="s">
        <v>107</v>
      </c>
      <c r="F1" s="33" t="s">
        <v>209</v>
      </c>
      <c r="G1" s="33" t="s">
        <v>210</v>
      </c>
      <c r="I1" s="58" t="s">
        <v>112</v>
      </c>
      <c r="J1" s="59" t="s">
        <v>207</v>
      </c>
      <c r="K1" s="58" t="s">
        <v>107</v>
      </c>
      <c r="L1" s="58"/>
      <c r="M1" s="58"/>
      <c r="N1" s="58"/>
    </row>
    <row r="2" spans="1:14" x14ac:dyDescent="0.25">
      <c r="A2" s="36">
        <v>1</v>
      </c>
      <c r="B2" s="37" t="s">
        <v>219</v>
      </c>
      <c r="C2" s="37" t="str">
        <f t="shared" ref="C2:C10" si="0">VLOOKUP(LEFT(B2,2),$I$4:$J$6,2,0)</f>
        <v>ĐÀ LẠT</v>
      </c>
      <c r="D2" s="37" t="str">
        <f t="shared" ref="D2:D10" si="1">HLOOKUP(MID(B2,3,1),$I$8:$K$9,2,0)</f>
        <v>XE DU LỊCH</v>
      </c>
      <c r="E2" s="37">
        <f t="shared" ref="E2:E10" si="2">VLOOKUP(LEFT(B2,2),$I$4:$N$6,IF(MID(B2,3,2)="B1",3,IF(MID(B2,3,2)="B2",4,IF(MID(B2,3,2)="X1",5,6))),0)</f>
        <v>672000</v>
      </c>
      <c r="F2" s="37">
        <f t="shared" ref="F2:F10" si="3">IF(RIGHT(B2,1)="V",0,IF(LEFT(B2,2)="HN",75%,50%))*E2</f>
        <v>336000</v>
      </c>
      <c r="G2" s="37">
        <f t="shared" ref="G2:G10" si="4">E2+F2</f>
        <v>1008000</v>
      </c>
      <c r="I2" s="58"/>
      <c r="J2" s="59"/>
      <c r="K2" s="60" t="s">
        <v>212</v>
      </c>
      <c r="L2" s="60"/>
      <c r="M2" s="60" t="s">
        <v>213</v>
      </c>
      <c r="N2" s="60"/>
    </row>
    <row r="3" spans="1:14" x14ac:dyDescent="0.25">
      <c r="A3" s="36">
        <v>2</v>
      </c>
      <c r="B3" s="37" t="s">
        <v>228</v>
      </c>
      <c r="C3" s="37" t="str">
        <f t="shared" si="0"/>
        <v>ĐÀ LẠT</v>
      </c>
      <c r="D3" s="37" t="str">
        <f t="shared" si="1"/>
        <v>MÁY BAY</v>
      </c>
      <c r="E3" s="37">
        <f t="shared" si="2"/>
        <v>1170000</v>
      </c>
      <c r="F3" s="37">
        <f t="shared" si="3"/>
        <v>0</v>
      </c>
      <c r="G3" s="37">
        <f t="shared" si="4"/>
        <v>1170000</v>
      </c>
      <c r="I3" s="58"/>
      <c r="J3" s="59"/>
      <c r="K3" s="39" t="s">
        <v>215</v>
      </c>
      <c r="L3" s="39" t="s">
        <v>216</v>
      </c>
      <c r="M3" s="39" t="s">
        <v>215</v>
      </c>
      <c r="N3" s="39" t="s">
        <v>216</v>
      </c>
    </row>
    <row r="4" spans="1:14" x14ac:dyDescent="0.25">
      <c r="A4" s="36">
        <v>3</v>
      </c>
      <c r="B4" s="37" t="s">
        <v>217</v>
      </c>
      <c r="C4" s="37" t="str">
        <f t="shared" si="0"/>
        <v>HÀ NỘI</v>
      </c>
      <c r="D4" s="37" t="str">
        <f t="shared" si="1"/>
        <v>MÁY BAY</v>
      </c>
      <c r="E4" s="37">
        <f t="shared" si="2"/>
        <v>3970000</v>
      </c>
      <c r="F4" s="37">
        <f t="shared" si="3"/>
        <v>0</v>
      </c>
      <c r="G4" s="37">
        <f t="shared" si="4"/>
        <v>3970000</v>
      </c>
      <c r="I4" s="37" t="s">
        <v>117</v>
      </c>
      <c r="J4" s="37" t="s">
        <v>125</v>
      </c>
      <c r="K4" s="37">
        <v>1550000</v>
      </c>
      <c r="L4" s="37">
        <v>1483000</v>
      </c>
      <c r="M4" s="37">
        <v>95000</v>
      </c>
      <c r="N4" s="37">
        <v>847000</v>
      </c>
    </row>
    <row r="5" spans="1:14" x14ac:dyDescent="0.25">
      <c r="A5" s="36">
        <v>4</v>
      </c>
      <c r="B5" s="37" t="s">
        <v>218</v>
      </c>
      <c r="C5" s="37" t="str">
        <f t="shared" si="0"/>
        <v>HÀ NỘI</v>
      </c>
      <c r="D5" s="37" t="str">
        <f t="shared" si="1"/>
        <v>MÁY BAY</v>
      </c>
      <c r="E5" s="37">
        <f t="shared" si="2"/>
        <v>4150000</v>
      </c>
      <c r="F5" s="37">
        <f t="shared" si="3"/>
        <v>3112500</v>
      </c>
      <c r="G5" s="37">
        <f t="shared" si="4"/>
        <v>7262500</v>
      </c>
      <c r="I5" s="37" t="s">
        <v>118</v>
      </c>
      <c r="J5" s="37" t="s">
        <v>128</v>
      </c>
      <c r="K5" s="37">
        <v>1290000</v>
      </c>
      <c r="L5" s="37">
        <v>1170000</v>
      </c>
      <c r="M5" s="37">
        <v>672000</v>
      </c>
      <c r="N5" s="37">
        <v>540000</v>
      </c>
    </row>
    <row r="6" spans="1:14" x14ac:dyDescent="0.25">
      <c r="A6" s="36">
        <v>5</v>
      </c>
      <c r="B6" s="37" t="s">
        <v>222</v>
      </c>
      <c r="C6" s="37" t="str">
        <f t="shared" si="0"/>
        <v>HÀ NỘI</v>
      </c>
      <c r="D6" s="37" t="str">
        <f t="shared" si="1"/>
        <v>XE DU LỊCH</v>
      </c>
      <c r="E6" s="37">
        <f t="shared" si="2"/>
        <v>3050000</v>
      </c>
      <c r="F6" s="37">
        <f t="shared" si="3"/>
        <v>0</v>
      </c>
      <c r="G6" s="37">
        <f t="shared" si="4"/>
        <v>3050000</v>
      </c>
      <c r="I6" s="37" t="s">
        <v>220</v>
      </c>
      <c r="J6" s="37" t="s">
        <v>221</v>
      </c>
      <c r="K6" s="37">
        <v>4150000</v>
      </c>
      <c r="L6" s="37">
        <v>3970000</v>
      </c>
      <c r="M6" s="37">
        <v>3050000</v>
      </c>
      <c r="N6" s="37">
        <v>2750000</v>
      </c>
    </row>
    <row r="7" spans="1:14" x14ac:dyDescent="0.25">
      <c r="A7" s="36">
        <v>6</v>
      </c>
      <c r="B7" s="37" t="s">
        <v>226</v>
      </c>
      <c r="C7" s="37" t="str">
        <f t="shared" si="0"/>
        <v>HÀ NỘI</v>
      </c>
      <c r="D7" s="37" t="str">
        <f t="shared" si="1"/>
        <v>XE DU LỊCH</v>
      </c>
      <c r="E7" s="37">
        <f t="shared" si="2"/>
        <v>2750000</v>
      </c>
      <c r="F7" s="37">
        <f t="shared" si="3"/>
        <v>0</v>
      </c>
      <c r="G7" s="37">
        <f t="shared" si="4"/>
        <v>2750000</v>
      </c>
    </row>
    <row r="8" spans="1:14" x14ac:dyDescent="0.25">
      <c r="A8" s="36">
        <v>7</v>
      </c>
      <c r="B8" s="37" t="s">
        <v>211</v>
      </c>
      <c r="C8" s="37" t="str">
        <f t="shared" si="0"/>
        <v>NHA TRANG</v>
      </c>
      <c r="D8" s="37" t="str">
        <f t="shared" si="1"/>
        <v>XE DU LỊCH</v>
      </c>
      <c r="E8" s="37">
        <f t="shared" si="2"/>
        <v>95000</v>
      </c>
      <c r="F8" s="37">
        <f t="shared" si="3"/>
        <v>47500</v>
      </c>
      <c r="G8" s="37">
        <f t="shared" si="4"/>
        <v>142500</v>
      </c>
      <c r="I8" s="42" t="s">
        <v>224</v>
      </c>
      <c r="J8" s="43" t="s">
        <v>91</v>
      </c>
      <c r="K8" s="43" t="s">
        <v>225</v>
      </c>
    </row>
    <row r="9" spans="1:14" x14ac:dyDescent="0.25">
      <c r="A9" s="36">
        <v>8</v>
      </c>
      <c r="B9" s="37" t="s">
        <v>214</v>
      </c>
      <c r="C9" s="37" t="str">
        <f t="shared" si="0"/>
        <v>NHA TRANG</v>
      </c>
      <c r="D9" s="37" t="str">
        <f t="shared" si="1"/>
        <v>XE DU LỊCH</v>
      </c>
      <c r="E9" s="37">
        <f t="shared" si="2"/>
        <v>95000</v>
      </c>
      <c r="F9" s="37">
        <f t="shared" si="3"/>
        <v>0</v>
      </c>
      <c r="G9" s="37">
        <f t="shared" si="4"/>
        <v>95000</v>
      </c>
      <c r="I9" s="42" t="s">
        <v>227</v>
      </c>
      <c r="J9" s="43" t="s">
        <v>212</v>
      </c>
      <c r="K9" s="43" t="s">
        <v>213</v>
      </c>
    </row>
    <row r="10" spans="1:14" x14ac:dyDescent="0.25">
      <c r="A10" s="36">
        <v>9</v>
      </c>
      <c r="B10" s="37" t="s">
        <v>223</v>
      </c>
      <c r="C10" s="37" t="str">
        <f t="shared" si="0"/>
        <v>NHA TRANG</v>
      </c>
      <c r="D10" s="37" t="str">
        <f t="shared" si="1"/>
        <v>MÁY BAY</v>
      </c>
      <c r="E10" s="37">
        <f t="shared" si="2"/>
        <v>1483000</v>
      </c>
      <c r="F10" s="37">
        <f t="shared" si="3"/>
        <v>0</v>
      </c>
      <c r="G10" s="37">
        <f t="shared" si="4"/>
        <v>1483000</v>
      </c>
    </row>
    <row r="11" spans="1:14" x14ac:dyDescent="0.25">
      <c r="I11" s="31" t="s">
        <v>203</v>
      </c>
      <c r="J11" s="43" t="s">
        <v>125</v>
      </c>
      <c r="K11" s="43" t="s">
        <v>128</v>
      </c>
      <c r="L11" s="43" t="s">
        <v>221</v>
      </c>
    </row>
    <row r="12" spans="1:14" x14ac:dyDescent="0.25">
      <c r="I12" s="31" t="s">
        <v>210</v>
      </c>
      <c r="J12" s="43">
        <f>SUMIF($C$2:$C$10,"NHA TRANG",$G$2:$G$10)</f>
        <v>1720500</v>
      </c>
      <c r="K12" s="43">
        <f>SUMIF($C$2:$C$10,"ĐÀ LẠT",$G$2:$G$10)</f>
        <v>2178000</v>
      </c>
      <c r="L12" s="43">
        <f>SUMIF($C$2:$C$10,"HÀ NỘI",$G$2:$G$10)</f>
        <v>17032500</v>
      </c>
    </row>
    <row r="14" spans="1:14" x14ac:dyDescent="0.25">
      <c r="I14" s="31" t="s">
        <v>203</v>
      </c>
      <c r="J14" s="43" t="s">
        <v>125</v>
      </c>
      <c r="K14" s="43" t="s">
        <v>128</v>
      </c>
      <c r="L14" s="43" t="s">
        <v>221</v>
      </c>
    </row>
    <row r="15" spans="1:14" x14ac:dyDescent="0.25">
      <c r="I15" s="31" t="s">
        <v>229</v>
      </c>
      <c r="J15" s="43">
        <f>COUNTIF($C$2:$C$10,"NHA TRANG")</f>
        <v>3</v>
      </c>
      <c r="K15" s="43">
        <f>COUNTIF($C$2:$C$10,"ĐÀ LẠT")</f>
        <v>2</v>
      </c>
      <c r="L15" s="43">
        <f>COUNTIF($C$2:$C$10,"HÀ NỘI")</f>
        <v>4</v>
      </c>
    </row>
    <row r="28" spans="1:7" ht="27.6" x14ac:dyDescent="0.25">
      <c r="A28" s="40" t="s">
        <v>57</v>
      </c>
      <c r="B28" s="44" t="s">
        <v>206</v>
      </c>
      <c r="C28" s="41" t="s">
        <v>207</v>
      </c>
      <c r="D28" s="41" t="s">
        <v>208</v>
      </c>
      <c r="E28" s="40" t="s">
        <v>107</v>
      </c>
      <c r="F28" s="40" t="s">
        <v>209</v>
      </c>
      <c r="G28" s="40" t="s">
        <v>210</v>
      </c>
    </row>
    <row r="29" spans="1:7" hidden="1" x14ac:dyDescent="0.25">
      <c r="A29" s="36">
        <v>1</v>
      </c>
      <c r="B29" s="37" t="s">
        <v>219</v>
      </c>
      <c r="C29" s="37" t="str">
        <f t="shared" ref="C29:C37" si="5">VLOOKUP(LEFT(B29,2),$I$4:$J$6,2,0)</f>
        <v>ĐÀ LẠT</v>
      </c>
      <c r="D29" s="37" t="str">
        <f t="shared" ref="D29:D37" si="6">HLOOKUP(MID(B29,3,1),$I$8:$K$9,2,0)</f>
        <v>XE DU LỊCH</v>
      </c>
      <c r="E29" s="37">
        <f t="shared" ref="E29:E37" si="7">VLOOKUP(LEFT(B29,2),$I$4:$N$6,IF(MID(B29,3,2)="B1",3,IF(MID(B29,3,2)="B2",4,IF(MID(B29,3,2)="X1",5,6))),0)</f>
        <v>672000</v>
      </c>
      <c r="F29" s="37">
        <f t="shared" ref="F29:F37" si="8">IF(RIGHT(B29,1)="V",0,IF(LEFT(B29,2)="HN",75%,50%))*E29</f>
        <v>336000</v>
      </c>
      <c r="G29" s="37">
        <f t="shared" ref="G29:G37" si="9">E29+F29</f>
        <v>1008000</v>
      </c>
    </row>
    <row r="30" spans="1:7" x14ac:dyDescent="0.25">
      <c r="A30" s="36">
        <v>2</v>
      </c>
      <c r="B30" s="37" t="s">
        <v>228</v>
      </c>
      <c r="C30" s="37" t="str">
        <f t="shared" si="5"/>
        <v>ĐÀ LẠT</v>
      </c>
      <c r="D30" s="37" t="str">
        <f t="shared" si="6"/>
        <v>MÁY BAY</v>
      </c>
      <c r="E30" s="37">
        <f t="shared" si="7"/>
        <v>1170000</v>
      </c>
      <c r="F30" s="37">
        <f t="shared" si="8"/>
        <v>0</v>
      </c>
      <c r="G30" s="37">
        <f t="shared" si="9"/>
        <v>1170000</v>
      </c>
    </row>
    <row r="31" spans="1:7" x14ac:dyDescent="0.25">
      <c r="A31" s="36">
        <v>3</v>
      </c>
      <c r="B31" s="37" t="s">
        <v>217</v>
      </c>
      <c r="C31" s="37" t="str">
        <f t="shared" si="5"/>
        <v>HÀ NỘI</v>
      </c>
      <c r="D31" s="37" t="str">
        <f t="shared" si="6"/>
        <v>MÁY BAY</v>
      </c>
      <c r="E31" s="37">
        <f t="shared" si="7"/>
        <v>3970000</v>
      </c>
      <c r="F31" s="37">
        <f t="shared" si="8"/>
        <v>0</v>
      </c>
      <c r="G31" s="37">
        <f t="shared" si="9"/>
        <v>3970000</v>
      </c>
    </row>
    <row r="32" spans="1:7" x14ac:dyDescent="0.25">
      <c r="A32" s="36">
        <v>4</v>
      </c>
      <c r="B32" s="37" t="s">
        <v>218</v>
      </c>
      <c r="C32" s="37" t="str">
        <f t="shared" si="5"/>
        <v>HÀ NỘI</v>
      </c>
      <c r="D32" s="37" t="str">
        <f t="shared" si="6"/>
        <v>MÁY BAY</v>
      </c>
      <c r="E32" s="37">
        <f t="shared" si="7"/>
        <v>4150000</v>
      </c>
      <c r="F32" s="37">
        <f t="shared" si="8"/>
        <v>3112500</v>
      </c>
      <c r="G32" s="37">
        <f t="shared" si="9"/>
        <v>7262500</v>
      </c>
    </row>
    <row r="33" spans="1:7" hidden="1" x14ac:dyDescent="0.25">
      <c r="A33" s="36">
        <v>5</v>
      </c>
      <c r="B33" s="37" t="s">
        <v>222</v>
      </c>
      <c r="C33" s="37" t="str">
        <f t="shared" si="5"/>
        <v>HÀ NỘI</v>
      </c>
      <c r="D33" s="37" t="str">
        <f t="shared" si="6"/>
        <v>XE DU LỊCH</v>
      </c>
      <c r="E33" s="37">
        <f t="shared" si="7"/>
        <v>3050000</v>
      </c>
      <c r="F33" s="37">
        <f t="shared" si="8"/>
        <v>0</v>
      </c>
      <c r="G33" s="37">
        <f t="shared" si="9"/>
        <v>3050000</v>
      </c>
    </row>
    <row r="34" spans="1:7" hidden="1" x14ac:dyDescent="0.25">
      <c r="A34" s="36">
        <v>6</v>
      </c>
      <c r="B34" s="37" t="s">
        <v>226</v>
      </c>
      <c r="C34" s="37" t="str">
        <f t="shared" si="5"/>
        <v>HÀ NỘI</v>
      </c>
      <c r="D34" s="37" t="str">
        <f t="shared" si="6"/>
        <v>XE DU LỊCH</v>
      </c>
      <c r="E34" s="37">
        <f t="shared" si="7"/>
        <v>2750000</v>
      </c>
      <c r="F34" s="37">
        <f t="shared" si="8"/>
        <v>0</v>
      </c>
      <c r="G34" s="37">
        <f t="shared" si="9"/>
        <v>2750000</v>
      </c>
    </row>
    <row r="35" spans="1:7" hidden="1" x14ac:dyDescent="0.25">
      <c r="A35" s="36">
        <v>7</v>
      </c>
      <c r="B35" s="37" t="s">
        <v>211</v>
      </c>
      <c r="C35" s="37" t="str">
        <f t="shared" si="5"/>
        <v>NHA TRANG</v>
      </c>
      <c r="D35" s="37" t="str">
        <f t="shared" si="6"/>
        <v>XE DU LỊCH</v>
      </c>
      <c r="E35" s="37">
        <f t="shared" si="7"/>
        <v>95000</v>
      </c>
      <c r="F35" s="37">
        <f t="shared" si="8"/>
        <v>47500</v>
      </c>
      <c r="G35" s="37">
        <f t="shared" si="9"/>
        <v>142500</v>
      </c>
    </row>
    <row r="36" spans="1:7" hidden="1" x14ac:dyDescent="0.25">
      <c r="A36" s="36">
        <v>8</v>
      </c>
      <c r="B36" s="37" t="s">
        <v>214</v>
      </c>
      <c r="C36" s="37" t="str">
        <f t="shared" si="5"/>
        <v>NHA TRANG</v>
      </c>
      <c r="D36" s="37" t="str">
        <f t="shared" si="6"/>
        <v>XE DU LỊCH</v>
      </c>
      <c r="E36" s="37">
        <f t="shared" si="7"/>
        <v>95000</v>
      </c>
      <c r="F36" s="37">
        <f t="shared" si="8"/>
        <v>0</v>
      </c>
      <c r="G36" s="37">
        <f t="shared" si="9"/>
        <v>95000</v>
      </c>
    </row>
    <row r="37" spans="1:7" x14ac:dyDescent="0.25">
      <c r="A37" s="36">
        <v>9</v>
      </c>
      <c r="B37" s="37" t="s">
        <v>223</v>
      </c>
      <c r="C37" s="37" t="str">
        <f t="shared" si="5"/>
        <v>NHA TRANG</v>
      </c>
      <c r="D37" s="37" t="str">
        <f t="shared" si="6"/>
        <v>MÁY BAY</v>
      </c>
      <c r="E37" s="37">
        <f t="shared" si="7"/>
        <v>1483000</v>
      </c>
      <c r="F37" s="37">
        <f t="shared" si="8"/>
        <v>0</v>
      </c>
      <c r="G37" s="37">
        <f t="shared" si="9"/>
        <v>1483000</v>
      </c>
    </row>
  </sheetData>
  <autoFilter ref="A28:G37" xr:uid="{440F5379-1614-4006-81FB-7AE9AF0E4784}">
    <filterColumn colId="1">
      <customFilters>
        <customFilter val="*B*"/>
      </customFilters>
    </filterColumn>
  </autoFilter>
  <sortState xmlns:xlrd2="http://schemas.microsoft.com/office/spreadsheetml/2017/richdata2" ref="B2:G10">
    <sortCondition ref="C2:C10"/>
  </sortState>
  <mergeCells count="5">
    <mergeCell ref="I1:I3"/>
    <mergeCell ref="J1:J3"/>
    <mergeCell ref="K2:L2"/>
    <mergeCell ref="M2:N2"/>
    <mergeCell ref="K1:N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40BA-E0BA-4898-80CB-D892E9069160}">
  <sheetPr filterMode="1"/>
  <dimension ref="A1:O40"/>
  <sheetViews>
    <sheetView tabSelected="1" topLeftCell="B25" zoomScale="145" zoomScaleNormal="145" workbookViewId="0">
      <selection activeCell="J34" sqref="J34"/>
    </sheetView>
  </sheetViews>
  <sheetFormatPr defaultRowHeight="14.4" x14ac:dyDescent="0.3"/>
  <cols>
    <col min="1" max="1" width="10.6640625" bestFit="1" customWidth="1"/>
    <col min="6" max="6" width="13.77734375" customWidth="1"/>
    <col min="7" max="7" width="9.44140625" bestFit="1" customWidth="1"/>
    <col min="9" max="9" width="11.5546875" bestFit="1" customWidth="1"/>
    <col min="11" max="12" width="13.5546875" bestFit="1" customWidth="1"/>
    <col min="14" max="14" width="10.5546875" customWidth="1"/>
  </cols>
  <sheetData>
    <row r="1" spans="1:15" s="12" customFormat="1" ht="28.8" x14ac:dyDescent="0.3">
      <c r="A1" s="13" t="s">
        <v>230</v>
      </c>
      <c r="B1" s="13" t="s">
        <v>231</v>
      </c>
      <c r="C1" s="13" t="s">
        <v>232</v>
      </c>
      <c r="D1" s="14" t="s">
        <v>233</v>
      </c>
      <c r="E1" s="14" t="s">
        <v>234</v>
      </c>
      <c r="F1" s="14" t="s">
        <v>235</v>
      </c>
      <c r="G1" s="14" t="s">
        <v>236</v>
      </c>
      <c r="H1" s="14" t="s">
        <v>237</v>
      </c>
      <c r="I1" s="13" t="s">
        <v>7</v>
      </c>
      <c r="K1" s="12" t="s">
        <v>87</v>
      </c>
    </row>
    <row r="2" spans="1:15" x14ac:dyDescent="0.3">
      <c r="A2" s="61">
        <v>36960</v>
      </c>
      <c r="B2" s="62" t="s">
        <v>238</v>
      </c>
      <c r="C2" s="62" t="s">
        <v>248</v>
      </c>
      <c r="D2" s="62">
        <v>250500</v>
      </c>
      <c r="E2" s="1">
        <f>HLOOKUP(C2,$L$2:$O$3,2,0)</f>
        <v>2000</v>
      </c>
      <c r="F2" s="1">
        <f>D2*E2</f>
        <v>501000000</v>
      </c>
      <c r="G2" s="1">
        <f>D2*VLOOKUP(LEFT(B2,2),$K$7:$M$10,2,0)</f>
        <v>6262500</v>
      </c>
      <c r="H2" s="1">
        <f>VLOOKUP(LEFT(B2,2),$K$7:$M$10,3,0)*F2</f>
        <v>2505000</v>
      </c>
      <c r="I2" s="1">
        <f>F2+G2+H2</f>
        <v>509767500</v>
      </c>
      <c r="K2" s="1" t="s">
        <v>232</v>
      </c>
      <c r="L2" s="8" t="s">
        <v>248</v>
      </c>
      <c r="M2" s="8" t="s">
        <v>249</v>
      </c>
      <c r="N2" s="8" t="s">
        <v>250</v>
      </c>
      <c r="O2" s="8" t="s">
        <v>251</v>
      </c>
    </row>
    <row r="3" spans="1:15" x14ac:dyDescent="0.3">
      <c r="A3" s="61">
        <v>36960</v>
      </c>
      <c r="B3" s="62" t="s">
        <v>239</v>
      </c>
      <c r="C3" s="62" t="s">
        <v>248</v>
      </c>
      <c r="D3" s="62">
        <v>65500</v>
      </c>
      <c r="E3" s="1">
        <f>HLOOKUP(C3,$L$2:$O$3,2,0)</f>
        <v>2000</v>
      </c>
      <c r="F3" s="1">
        <f>D3*E3</f>
        <v>131000000</v>
      </c>
      <c r="G3" s="1">
        <f>D3*VLOOKUP(LEFT(B3,2),$K$7:$M$10,2,0)</f>
        <v>3275000</v>
      </c>
      <c r="H3" s="1">
        <f>VLOOKUP(LEFT(B3,2),$K$7:$M$10,3,0)*F3</f>
        <v>524000</v>
      </c>
      <c r="I3" s="1">
        <f>F3+G3+H3</f>
        <v>134799000</v>
      </c>
      <c r="K3" s="1" t="s">
        <v>5</v>
      </c>
      <c r="L3" s="1">
        <v>2000</v>
      </c>
      <c r="M3" s="1">
        <v>1800</v>
      </c>
      <c r="N3" s="1">
        <v>2500</v>
      </c>
      <c r="O3" s="1">
        <v>2300</v>
      </c>
    </row>
    <row r="4" spans="1:15" x14ac:dyDescent="0.3">
      <c r="A4" s="61">
        <v>37023</v>
      </c>
      <c r="B4" s="62" t="s">
        <v>243</v>
      </c>
      <c r="C4" s="62" t="s">
        <v>249</v>
      </c>
      <c r="D4" s="62">
        <v>75000</v>
      </c>
      <c r="E4" s="1">
        <f>HLOOKUP(C4,$L$2:$O$3,2,0)</f>
        <v>1800</v>
      </c>
      <c r="F4" s="1">
        <f>D4*E4</f>
        <v>135000000</v>
      </c>
      <c r="G4" s="1">
        <f>D4*VLOOKUP(LEFT(B4,2),$K$7:$M$10,2,0)</f>
        <v>1875000</v>
      </c>
      <c r="H4" s="1">
        <f>VLOOKUP(LEFT(B4,2),$K$7:$M$10,3,0)*F4</f>
        <v>675000</v>
      </c>
      <c r="I4" s="1">
        <f>F4+G4+H4</f>
        <v>137550000</v>
      </c>
      <c r="K4" s="1" t="s">
        <v>260</v>
      </c>
      <c r="L4" s="1"/>
      <c r="M4" s="1"/>
      <c r="N4" s="1"/>
      <c r="O4" s="1"/>
    </row>
    <row r="5" spans="1:15" x14ac:dyDescent="0.3">
      <c r="A5" s="61">
        <v>37028</v>
      </c>
      <c r="B5" s="62" t="s">
        <v>244</v>
      </c>
      <c r="C5" s="62" t="s">
        <v>249</v>
      </c>
      <c r="D5" s="62">
        <v>45000</v>
      </c>
      <c r="E5" s="1">
        <f>HLOOKUP(C5,$L$2:$O$3,2,0)</f>
        <v>1800</v>
      </c>
      <c r="F5" s="1">
        <f>D5*E5</f>
        <v>81000000</v>
      </c>
      <c r="G5" s="1">
        <f>D5*VLOOKUP(LEFT(B5,2),$K$7:$M$10,2,0)</f>
        <v>1800000</v>
      </c>
      <c r="H5" s="1">
        <f>VLOOKUP(LEFT(B5,2),$K$7:$M$10,3,0)*F5</f>
        <v>202500</v>
      </c>
      <c r="I5" s="1">
        <f>F5+G5+H5</f>
        <v>83002500</v>
      </c>
      <c r="K5" t="s">
        <v>252</v>
      </c>
    </row>
    <row r="6" spans="1:15" ht="27" customHeight="1" x14ac:dyDescent="0.3">
      <c r="A6" s="61">
        <v>37023</v>
      </c>
      <c r="B6" s="62" t="s">
        <v>245</v>
      </c>
      <c r="C6" s="62" t="s">
        <v>250</v>
      </c>
      <c r="D6" s="62">
        <v>170000</v>
      </c>
      <c r="E6" s="1">
        <f>HLOOKUP(C6,$L$2:$O$3,2,0)</f>
        <v>2500</v>
      </c>
      <c r="F6" s="1">
        <f>D6*E6</f>
        <v>425000000</v>
      </c>
      <c r="G6" s="1">
        <f>D6*VLOOKUP(LEFT(B6,2),$K$7:$M$10,2,0)</f>
        <v>8500000</v>
      </c>
      <c r="H6" s="1">
        <f>VLOOKUP(LEFT(B6,2),$K$7:$M$10,3,0)*F6</f>
        <v>1700000</v>
      </c>
      <c r="I6" s="1">
        <f>F6+G6+H6</f>
        <v>435200000</v>
      </c>
      <c r="K6" s="8" t="s">
        <v>253</v>
      </c>
      <c r="L6" s="17" t="s">
        <v>254</v>
      </c>
      <c r="M6" s="8" t="s">
        <v>237</v>
      </c>
      <c r="N6" s="65" t="s">
        <v>259</v>
      </c>
    </row>
    <row r="7" spans="1:15" x14ac:dyDescent="0.3">
      <c r="A7" s="61">
        <v>37023</v>
      </c>
      <c r="B7" s="62" t="s">
        <v>246</v>
      </c>
      <c r="C7" s="62" t="s">
        <v>250</v>
      </c>
      <c r="D7" s="62">
        <v>70000</v>
      </c>
      <c r="E7" s="1">
        <f>HLOOKUP(C7,$L$2:$O$3,2,0)</f>
        <v>2500</v>
      </c>
      <c r="F7" s="1">
        <f>D7*E7</f>
        <v>175000000</v>
      </c>
      <c r="G7" s="1">
        <f>D7*VLOOKUP(LEFT(B7,2),$K$7:$M$10,2,0)</f>
        <v>3500000</v>
      </c>
      <c r="H7" s="1">
        <f>VLOOKUP(LEFT(B7,2),$K$7:$M$10,3,0)*F7</f>
        <v>700000</v>
      </c>
      <c r="I7" s="1">
        <f>F7+G7+H7</f>
        <v>179200000</v>
      </c>
      <c r="K7" s="1" t="s">
        <v>255</v>
      </c>
      <c r="L7" s="1">
        <v>25</v>
      </c>
      <c r="M7" s="63">
        <v>5.0000000000000001E-3</v>
      </c>
      <c r="N7" s="1">
        <f>SUMIF($B$2:$B$11,"DN****",$G$2:$G$11)</f>
        <v>8387500</v>
      </c>
    </row>
    <row r="8" spans="1:15" x14ac:dyDescent="0.3">
      <c r="A8" s="61">
        <v>37027</v>
      </c>
      <c r="B8" s="62" t="s">
        <v>247</v>
      </c>
      <c r="C8" s="62" t="s">
        <v>250</v>
      </c>
      <c r="D8" s="62">
        <v>85000</v>
      </c>
      <c r="E8" s="1">
        <f>HLOOKUP(C8,$L$2:$O$3,2,0)</f>
        <v>2500</v>
      </c>
      <c r="F8" s="1">
        <f>D8*E8</f>
        <v>212500000</v>
      </c>
      <c r="G8" s="1">
        <f>D8*VLOOKUP(LEFT(B8,2),$K$7:$M$10,2,0)</f>
        <v>2125000</v>
      </c>
      <c r="H8" s="1">
        <f>VLOOKUP(LEFT(B8,2),$K$7:$M$10,3,0)*F8</f>
        <v>1062500</v>
      </c>
      <c r="I8" s="1">
        <f>F8+G8+H8</f>
        <v>215687500</v>
      </c>
      <c r="K8" s="1" t="s">
        <v>256</v>
      </c>
      <c r="L8" s="1">
        <v>50</v>
      </c>
      <c r="M8" s="63">
        <v>4.0000000000000001E-3</v>
      </c>
      <c r="N8" s="1">
        <f>SUMIF($B$2:$B$11,"LD****",$G$2:$G$11)</f>
        <v>21300000</v>
      </c>
    </row>
    <row r="9" spans="1:15" x14ac:dyDescent="0.3">
      <c r="A9" s="61">
        <v>36992</v>
      </c>
      <c r="B9" s="62" t="s">
        <v>240</v>
      </c>
      <c r="C9" s="62" t="s">
        <v>251</v>
      </c>
      <c r="D9" s="62">
        <v>60500</v>
      </c>
      <c r="E9" s="1">
        <f>HLOOKUP(C9,$L$2:$O$3,2,0)</f>
        <v>2300</v>
      </c>
      <c r="F9" s="1">
        <f>D9*E9</f>
        <v>139150000</v>
      </c>
      <c r="G9" s="1">
        <f>D9*VLOOKUP(LEFT(B9,2),$K$7:$M$10,2,0)</f>
        <v>2420000</v>
      </c>
      <c r="H9" s="1">
        <f>VLOOKUP(LEFT(B9,2),$K$7:$M$10,3,0)*F9</f>
        <v>347875</v>
      </c>
      <c r="I9" s="1">
        <f>F9+G9+H9</f>
        <v>141917875</v>
      </c>
      <c r="K9" s="1" t="s">
        <v>257</v>
      </c>
      <c r="L9" s="1">
        <v>25</v>
      </c>
      <c r="M9" s="63">
        <v>5.0000000000000001E-3</v>
      </c>
      <c r="N9" s="1">
        <f>SUMIF($B$2:$B$11,"SB****",$G$2:$G$11)</f>
        <v>1875000</v>
      </c>
    </row>
    <row r="10" spans="1:15" x14ac:dyDescent="0.3">
      <c r="A10" s="61">
        <v>36993</v>
      </c>
      <c r="B10" s="62" t="s">
        <v>241</v>
      </c>
      <c r="C10" s="62" t="s">
        <v>251</v>
      </c>
      <c r="D10" s="62">
        <v>120500</v>
      </c>
      <c r="E10" s="1">
        <f>HLOOKUP(C10,$L$2:$O$3,2,0)</f>
        <v>2300</v>
      </c>
      <c r="F10" s="1">
        <f>D10*E10</f>
        <v>277150000</v>
      </c>
      <c r="G10" s="1">
        <f>D10*VLOOKUP(LEFT(B10,2),$K$7:$M$10,2,0)</f>
        <v>6025000</v>
      </c>
      <c r="H10" s="1">
        <f>VLOOKUP(LEFT(B10,2),$K$7:$M$10,3,0)*F10</f>
        <v>1108600</v>
      </c>
      <c r="I10" s="1">
        <f>F10+G10+H10</f>
        <v>284283600</v>
      </c>
      <c r="K10" s="1" t="s">
        <v>258</v>
      </c>
      <c r="L10" s="1">
        <v>40</v>
      </c>
      <c r="M10" s="63">
        <v>2.5000000000000001E-3</v>
      </c>
      <c r="N10" s="1">
        <f>SUMIF($B$2:$B$11,"TN****",$G$2:$G$11)</f>
        <v>6220000</v>
      </c>
    </row>
    <row r="11" spans="1:15" x14ac:dyDescent="0.3">
      <c r="A11" s="61">
        <v>36996</v>
      </c>
      <c r="B11" s="62" t="s">
        <v>242</v>
      </c>
      <c r="C11" s="62" t="s">
        <v>251</v>
      </c>
      <c r="D11" s="62">
        <v>50000</v>
      </c>
      <c r="E11" s="1">
        <f>HLOOKUP(C11,$L$2:$O$3,2,0)</f>
        <v>2300</v>
      </c>
      <c r="F11" s="1">
        <f>D11*E11</f>
        <v>115000000</v>
      </c>
      <c r="G11" s="1">
        <f>D11*VLOOKUP(LEFT(B11,2),$K$7:$M$10,2,0)</f>
        <v>2000000</v>
      </c>
      <c r="H11" s="1">
        <f>VLOOKUP(LEFT(B11,2),$K$7:$M$10,3,0)*F11</f>
        <v>287500</v>
      </c>
      <c r="I11" s="1">
        <f>F11+G11+H11</f>
        <v>117287500</v>
      </c>
    </row>
    <row r="12" spans="1:15" x14ac:dyDescent="0.3">
      <c r="A12" s="64" t="s">
        <v>108</v>
      </c>
      <c r="B12" s="64"/>
      <c r="C12" s="64"/>
      <c r="D12" s="1">
        <f>SUM(D2:D11)</f>
        <v>992000</v>
      </c>
      <c r="E12" s="1">
        <f t="shared" ref="E12:H12" si="0">SUM(E2:E11)</f>
        <v>22000</v>
      </c>
      <c r="F12" s="1">
        <f t="shared" si="0"/>
        <v>2191800000</v>
      </c>
      <c r="G12" s="1">
        <f t="shared" si="0"/>
        <v>37782500</v>
      </c>
      <c r="H12" s="1">
        <f t="shared" si="0"/>
        <v>9112975</v>
      </c>
      <c r="I12" s="1">
        <f>SUM(I2:I11)</f>
        <v>2238695475</v>
      </c>
    </row>
    <row r="29" spans="1:9" ht="28.8" x14ac:dyDescent="0.3">
      <c r="A29" s="13" t="s">
        <v>230</v>
      </c>
      <c r="B29" s="13" t="s">
        <v>231</v>
      </c>
      <c r="C29" s="13" t="s">
        <v>232</v>
      </c>
      <c r="D29" s="14" t="s">
        <v>233</v>
      </c>
      <c r="E29" s="14" t="s">
        <v>234</v>
      </c>
      <c r="F29" s="14" t="s">
        <v>235</v>
      </c>
      <c r="G29" s="14" t="s">
        <v>236</v>
      </c>
      <c r="H29" s="14" t="s">
        <v>237</v>
      </c>
      <c r="I29" s="13" t="s">
        <v>7</v>
      </c>
    </row>
    <row r="30" spans="1:9" x14ac:dyDescent="0.3">
      <c r="A30" s="61">
        <v>36960</v>
      </c>
      <c r="B30" s="62" t="s">
        <v>238</v>
      </c>
      <c r="C30" s="62" t="s">
        <v>248</v>
      </c>
      <c r="D30" s="62">
        <v>250500</v>
      </c>
      <c r="E30" s="1">
        <f>HLOOKUP(C30,$L$2:$O$3,2,0)</f>
        <v>2000</v>
      </c>
      <c r="F30" s="1">
        <f>D30*E30</f>
        <v>501000000</v>
      </c>
      <c r="G30" s="1">
        <f>D30*VLOOKUP(LEFT(B30,2),$K$7:$M$10,2,0)</f>
        <v>6262500</v>
      </c>
      <c r="H30" s="1">
        <f>VLOOKUP(LEFT(B30,2),$K$7:$M$10,3,0)*F30</f>
        <v>2505000</v>
      </c>
      <c r="I30" s="1">
        <f>F30+G30+H30</f>
        <v>509767500</v>
      </c>
    </row>
    <row r="31" spans="1:9" x14ac:dyDescent="0.3">
      <c r="A31" s="61">
        <v>36960</v>
      </c>
      <c r="B31" s="62" t="s">
        <v>239</v>
      </c>
      <c r="C31" s="62" t="s">
        <v>248</v>
      </c>
      <c r="D31" s="62">
        <v>65500</v>
      </c>
      <c r="E31" s="1">
        <f>HLOOKUP(C31,$L$2:$O$3,2,0)</f>
        <v>2000</v>
      </c>
      <c r="F31" s="1">
        <f t="shared" ref="F31:F39" si="1">D31*E31</f>
        <v>131000000</v>
      </c>
      <c r="G31" s="1">
        <f>D31*VLOOKUP(LEFT(B31,2),$K$7:$M$10,2,0)</f>
        <v>3275000</v>
      </c>
      <c r="H31" s="1">
        <f>VLOOKUP(LEFT(B31,2),$K$7:$M$10,3,0)*F31</f>
        <v>524000</v>
      </c>
      <c r="I31" s="1">
        <f t="shared" ref="I31:I39" si="2">F31+G31+H31</f>
        <v>134799000</v>
      </c>
    </row>
    <row r="32" spans="1:9" hidden="1" x14ac:dyDescent="0.3">
      <c r="A32" s="61">
        <v>37023</v>
      </c>
      <c r="B32" s="62" t="s">
        <v>243</v>
      </c>
      <c r="C32" s="62" t="s">
        <v>249</v>
      </c>
      <c r="D32" s="62">
        <v>75000</v>
      </c>
      <c r="E32" s="1">
        <f>HLOOKUP(C32,$L$2:$O$3,2,0)</f>
        <v>1800</v>
      </c>
      <c r="F32" s="1">
        <f t="shared" si="1"/>
        <v>135000000</v>
      </c>
      <c r="G32" s="1">
        <f>D32*VLOOKUP(LEFT(B32,2),$K$7:$M$10,2,0)</f>
        <v>1875000</v>
      </c>
      <c r="H32" s="1">
        <f>VLOOKUP(LEFT(B32,2),$K$7:$M$10,3,0)*F32</f>
        <v>675000</v>
      </c>
      <c r="I32" s="1">
        <f t="shared" si="2"/>
        <v>137550000</v>
      </c>
    </row>
    <row r="33" spans="1:9" hidden="1" x14ac:dyDescent="0.3">
      <c r="A33" s="61">
        <v>37028</v>
      </c>
      <c r="B33" s="62" t="s">
        <v>244</v>
      </c>
      <c r="C33" s="62" t="s">
        <v>249</v>
      </c>
      <c r="D33" s="62">
        <v>45000</v>
      </c>
      <c r="E33" s="1">
        <f>HLOOKUP(C33,$L$2:$O$3,2,0)</f>
        <v>1800</v>
      </c>
      <c r="F33" s="1">
        <f t="shared" si="1"/>
        <v>81000000</v>
      </c>
      <c r="G33" s="1">
        <f>D33*VLOOKUP(LEFT(B33,2),$K$7:$M$10,2,0)</f>
        <v>1800000</v>
      </c>
      <c r="H33" s="1">
        <f>VLOOKUP(LEFT(B33,2),$K$7:$M$10,3,0)*F33</f>
        <v>202500</v>
      </c>
      <c r="I33" s="1">
        <f t="shared" si="2"/>
        <v>83002500</v>
      </c>
    </row>
    <row r="34" spans="1:9" x14ac:dyDescent="0.3">
      <c r="A34" s="61">
        <v>37023</v>
      </c>
      <c r="B34" s="62" t="s">
        <v>245</v>
      </c>
      <c r="C34" s="62" t="s">
        <v>250</v>
      </c>
      <c r="D34" s="62">
        <v>170000</v>
      </c>
      <c r="E34" s="1">
        <f>HLOOKUP(C34,$L$2:$O$3,2,0)</f>
        <v>2500</v>
      </c>
      <c r="F34" s="1">
        <f t="shared" si="1"/>
        <v>425000000</v>
      </c>
      <c r="G34" s="1">
        <f>D34*VLOOKUP(LEFT(B34,2),$K$7:$M$10,2,0)</f>
        <v>8500000</v>
      </c>
      <c r="H34" s="1">
        <f>VLOOKUP(LEFT(B34,2),$K$7:$M$10,3,0)*F34</f>
        <v>1700000</v>
      </c>
      <c r="I34" s="1">
        <f t="shared" si="2"/>
        <v>435200000</v>
      </c>
    </row>
    <row r="35" spans="1:9" x14ac:dyDescent="0.3">
      <c r="A35" s="61">
        <v>37023</v>
      </c>
      <c r="B35" s="62" t="s">
        <v>246</v>
      </c>
      <c r="C35" s="62" t="s">
        <v>250</v>
      </c>
      <c r="D35" s="62">
        <v>70000</v>
      </c>
      <c r="E35" s="1">
        <f>HLOOKUP(C35,$L$2:$O$3,2,0)</f>
        <v>2500</v>
      </c>
      <c r="F35" s="1">
        <f t="shared" si="1"/>
        <v>175000000</v>
      </c>
      <c r="G35" s="1">
        <f>D35*VLOOKUP(LEFT(B35,2),$K$7:$M$10,2,0)</f>
        <v>3500000</v>
      </c>
      <c r="H35" s="1">
        <f>VLOOKUP(LEFT(B35,2),$K$7:$M$10,3,0)*F35</f>
        <v>700000</v>
      </c>
      <c r="I35" s="1">
        <f t="shared" si="2"/>
        <v>179200000</v>
      </c>
    </row>
    <row r="36" spans="1:9" x14ac:dyDescent="0.3">
      <c r="A36" s="61">
        <v>37027</v>
      </c>
      <c r="B36" s="62" t="s">
        <v>247</v>
      </c>
      <c r="C36" s="62" t="s">
        <v>250</v>
      </c>
      <c r="D36" s="62">
        <v>85000</v>
      </c>
      <c r="E36" s="1">
        <f>HLOOKUP(C36,$L$2:$O$3,2,0)</f>
        <v>2500</v>
      </c>
      <c r="F36" s="1">
        <f t="shared" si="1"/>
        <v>212500000</v>
      </c>
      <c r="G36" s="1">
        <f>D36*VLOOKUP(LEFT(B36,2),$K$7:$M$10,2,0)</f>
        <v>2125000</v>
      </c>
      <c r="H36" s="1">
        <f>VLOOKUP(LEFT(B36,2),$K$7:$M$10,3,0)*F36</f>
        <v>1062500</v>
      </c>
      <c r="I36" s="1">
        <f t="shared" si="2"/>
        <v>215687500</v>
      </c>
    </row>
    <row r="37" spans="1:9" hidden="1" x14ac:dyDescent="0.3">
      <c r="A37" s="61">
        <v>36992</v>
      </c>
      <c r="B37" s="62" t="s">
        <v>240</v>
      </c>
      <c r="C37" s="62" t="s">
        <v>251</v>
      </c>
      <c r="D37" s="62">
        <v>60500</v>
      </c>
      <c r="E37" s="1">
        <f>HLOOKUP(C37,$L$2:$O$3,2,0)</f>
        <v>2300</v>
      </c>
      <c r="F37" s="1">
        <f t="shared" si="1"/>
        <v>139150000</v>
      </c>
      <c r="G37" s="1">
        <f>D37*VLOOKUP(LEFT(B37,2),$K$7:$M$10,2,0)</f>
        <v>2420000</v>
      </c>
      <c r="H37" s="1">
        <f>VLOOKUP(LEFT(B37,2),$K$7:$M$10,3,0)*F37</f>
        <v>347875</v>
      </c>
      <c r="I37" s="1">
        <f t="shared" si="2"/>
        <v>141917875</v>
      </c>
    </row>
    <row r="38" spans="1:9" x14ac:dyDescent="0.3">
      <c r="A38" s="61">
        <v>36993</v>
      </c>
      <c r="B38" s="62" t="s">
        <v>241</v>
      </c>
      <c r="C38" s="62" t="s">
        <v>251</v>
      </c>
      <c r="D38" s="62">
        <v>120500</v>
      </c>
      <c r="E38" s="1">
        <f>HLOOKUP(C38,$L$2:$O$3,2,0)</f>
        <v>2300</v>
      </c>
      <c r="F38" s="1">
        <f t="shared" si="1"/>
        <v>277150000</v>
      </c>
      <c r="G38" s="1">
        <f>D38*VLOOKUP(LEFT(B38,2),$K$7:$M$10,2,0)</f>
        <v>6025000</v>
      </c>
      <c r="H38" s="1">
        <f>VLOOKUP(LEFT(B38,2),$K$7:$M$10,3,0)*F38</f>
        <v>1108600</v>
      </c>
      <c r="I38" s="1">
        <f t="shared" si="2"/>
        <v>284283600</v>
      </c>
    </row>
    <row r="39" spans="1:9" hidden="1" x14ac:dyDescent="0.3">
      <c r="A39" s="61">
        <v>36996</v>
      </c>
      <c r="B39" s="62" t="s">
        <v>242</v>
      </c>
      <c r="C39" s="62" t="s">
        <v>251</v>
      </c>
      <c r="D39" s="62">
        <v>50000</v>
      </c>
      <c r="E39" s="1">
        <f>HLOOKUP(C39,$L$2:$O$3,2,0)</f>
        <v>2300</v>
      </c>
      <c r="F39" s="1">
        <f t="shared" si="1"/>
        <v>115000000</v>
      </c>
      <c r="G39" s="1">
        <f>D39*VLOOKUP(LEFT(B39,2),$K$7:$M$10,2,0)</f>
        <v>2000000</v>
      </c>
      <c r="H39" s="1">
        <f>VLOOKUP(LEFT(B39,2),$K$7:$M$10,3,0)*F39</f>
        <v>287500</v>
      </c>
      <c r="I39" s="1">
        <f t="shared" si="2"/>
        <v>117287500</v>
      </c>
    </row>
    <row r="40" spans="1:9" hidden="1" x14ac:dyDescent="0.3">
      <c r="A40" s="64" t="s">
        <v>108</v>
      </c>
      <c r="B40" s="64"/>
      <c r="C40" s="64"/>
      <c r="D40" s="1">
        <f>SUM(D30:D39)</f>
        <v>992000</v>
      </c>
      <c r="E40" s="1">
        <f t="shared" ref="E40" si="3">SUM(E30:E39)</f>
        <v>22000</v>
      </c>
      <c r="F40" s="1">
        <f t="shared" ref="F40" si="4">SUM(F30:F39)</f>
        <v>2191800000</v>
      </c>
      <c r="G40" s="1">
        <f t="shared" ref="G40" si="5">SUM(G30:G39)</f>
        <v>37782500</v>
      </c>
      <c r="H40" s="1">
        <f t="shared" ref="H40" si="6">SUM(H30:H39)</f>
        <v>9112975</v>
      </c>
      <c r="I40" s="1">
        <f>SUM(I30:I39)</f>
        <v>2238695475</v>
      </c>
    </row>
  </sheetData>
  <autoFilter ref="A29:I40" xr:uid="{195D40BA-E0BA-4898-80CB-D892E9069160}">
    <filterColumn colId="1">
      <customFilters>
        <customFilter val="*LD*"/>
        <customFilter val="*DN*"/>
      </customFilters>
    </filterColumn>
  </autoFilter>
  <sortState xmlns:xlrd2="http://schemas.microsoft.com/office/spreadsheetml/2017/richdata2" ref="A2:I11">
    <sortCondition ref="C2:C11"/>
  </sortState>
  <mergeCells count="2">
    <mergeCell ref="A12:C12"/>
    <mergeCell ref="A40:C40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9652-8683-4D39-8047-46E39CFC07EC}">
  <dimension ref="A1:H12"/>
  <sheetViews>
    <sheetView zoomScale="175" zoomScaleNormal="175" workbookViewId="0">
      <selection activeCell="G12" sqref="G12"/>
    </sheetView>
  </sheetViews>
  <sheetFormatPr defaultRowHeight="14.4" x14ac:dyDescent="0.3"/>
  <cols>
    <col min="1" max="1" width="4" bestFit="1" customWidth="1"/>
    <col min="2" max="2" width="15.5546875" bestFit="1" customWidth="1"/>
    <col min="3" max="3" width="8.109375" bestFit="1" customWidth="1"/>
    <col min="4" max="4" width="5.109375" bestFit="1" customWidth="1"/>
    <col min="5" max="5" width="5.6640625" bestFit="1" customWidth="1"/>
    <col min="6" max="7" width="8.44140625" bestFit="1" customWidth="1"/>
    <col min="8" max="8" width="9.6640625" bestFit="1" customWidth="1"/>
  </cols>
  <sheetData>
    <row r="1" spans="1:8" x14ac:dyDescent="0.3">
      <c r="A1" s="50" t="s">
        <v>18</v>
      </c>
      <c r="B1" s="45"/>
      <c r="C1" s="45"/>
      <c r="D1" s="45"/>
      <c r="E1" s="45"/>
      <c r="F1" s="45"/>
      <c r="G1" s="45"/>
      <c r="H1" s="45"/>
    </row>
    <row r="2" spans="1:8" x14ac:dyDescent="0.3">
      <c r="G2" t="s">
        <v>19</v>
      </c>
      <c r="H2" s="1">
        <v>400000</v>
      </c>
    </row>
    <row r="3" spans="1:8" x14ac:dyDescent="0.3">
      <c r="G3" t="s">
        <v>20</v>
      </c>
      <c r="H3" s="2">
        <v>830000</v>
      </c>
    </row>
    <row r="4" spans="1:8" x14ac:dyDescent="0.3">
      <c r="A4" s="7" t="s">
        <v>1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27</v>
      </c>
    </row>
    <row r="5" spans="1:8" x14ac:dyDescent="0.3">
      <c r="A5" s="1">
        <v>1</v>
      </c>
      <c r="B5" s="1" t="s">
        <v>28</v>
      </c>
      <c r="C5" s="8" t="s">
        <v>29</v>
      </c>
      <c r="D5" s="1">
        <v>5.47</v>
      </c>
      <c r="E5" s="1">
        <v>8</v>
      </c>
      <c r="F5" s="1">
        <v>2000000</v>
      </c>
      <c r="G5" s="1">
        <f t="shared" ref="G5:G11" si="0">$H$2*E5*50%</f>
        <v>1600000</v>
      </c>
      <c r="H5" s="1">
        <f>($H$3*D5)+F5+G5+$H$2</f>
        <v>8540100</v>
      </c>
    </row>
    <row r="6" spans="1:8" x14ac:dyDescent="0.3">
      <c r="A6" s="1">
        <v>2</v>
      </c>
      <c r="B6" s="1" t="s">
        <v>30</v>
      </c>
      <c r="C6" s="8" t="s">
        <v>31</v>
      </c>
      <c r="D6" s="1">
        <v>5.22</v>
      </c>
      <c r="E6" s="1">
        <v>6</v>
      </c>
      <c r="F6" s="1">
        <v>1800000</v>
      </c>
      <c r="G6" s="1">
        <f t="shared" si="0"/>
        <v>1200000</v>
      </c>
      <c r="H6" s="1">
        <f t="shared" ref="H6:H11" si="1">($H$3*D6)+F6+G6+$H$2</f>
        <v>7732600</v>
      </c>
    </row>
    <row r="7" spans="1:8" x14ac:dyDescent="0.3">
      <c r="A7" s="1">
        <v>3</v>
      </c>
      <c r="B7" s="1" t="s">
        <v>32</v>
      </c>
      <c r="C7" s="8" t="s">
        <v>33</v>
      </c>
      <c r="D7" s="1">
        <v>3.3</v>
      </c>
      <c r="E7" s="1">
        <v>4</v>
      </c>
      <c r="F7" s="1">
        <v>1500000</v>
      </c>
      <c r="G7" s="1">
        <f t="shared" si="0"/>
        <v>800000</v>
      </c>
      <c r="H7" s="1">
        <f t="shared" si="1"/>
        <v>5439000</v>
      </c>
    </row>
    <row r="8" spans="1:8" x14ac:dyDescent="0.3">
      <c r="A8" s="1">
        <v>4</v>
      </c>
      <c r="B8" s="1" t="s">
        <v>34</v>
      </c>
      <c r="C8" s="8" t="s">
        <v>35</v>
      </c>
      <c r="D8" s="1">
        <v>4.62</v>
      </c>
      <c r="E8" s="1">
        <v>3</v>
      </c>
      <c r="F8" s="1">
        <v>1200000</v>
      </c>
      <c r="G8" s="1">
        <f t="shared" si="0"/>
        <v>600000</v>
      </c>
      <c r="H8" s="1">
        <f t="shared" si="1"/>
        <v>6034600</v>
      </c>
    </row>
    <row r="9" spans="1:8" x14ac:dyDescent="0.3">
      <c r="A9" s="1">
        <v>5</v>
      </c>
      <c r="B9" s="1" t="s">
        <v>36</v>
      </c>
      <c r="C9" s="8" t="s">
        <v>37</v>
      </c>
      <c r="D9" s="1">
        <v>3.88</v>
      </c>
      <c r="E9" s="1">
        <v>2</v>
      </c>
      <c r="F9" s="1">
        <v>1000000</v>
      </c>
      <c r="G9" s="1">
        <f t="shared" si="0"/>
        <v>400000</v>
      </c>
      <c r="H9" s="1">
        <f t="shared" si="1"/>
        <v>5020400</v>
      </c>
    </row>
    <row r="10" spans="1:8" x14ac:dyDescent="0.3">
      <c r="A10" s="1">
        <v>6</v>
      </c>
      <c r="B10" s="1" t="s">
        <v>38</v>
      </c>
      <c r="C10" s="8" t="s">
        <v>39</v>
      </c>
      <c r="D10" s="1">
        <v>4.9800000000000004</v>
      </c>
      <c r="E10" s="1">
        <v>1</v>
      </c>
      <c r="F10" s="1">
        <v>1000000</v>
      </c>
      <c r="G10" s="1">
        <f t="shared" si="0"/>
        <v>200000</v>
      </c>
      <c r="H10" s="1">
        <f t="shared" si="1"/>
        <v>5733400</v>
      </c>
    </row>
    <row r="11" spans="1:8" x14ac:dyDescent="0.3">
      <c r="A11" s="1">
        <v>7</v>
      </c>
      <c r="B11" s="1" t="s">
        <v>40</v>
      </c>
      <c r="C11" s="8" t="s">
        <v>39</v>
      </c>
      <c r="D11" s="1">
        <v>5.22</v>
      </c>
      <c r="E11" s="1">
        <v>1</v>
      </c>
      <c r="F11" s="1">
        <v>1000000</v>
      </c>
      <c r="G11" s="1">
        <f t="shared" si="0"/>
        <v>200000</v>
      </c>
      <c r="H11" s="1">
        <f t="shared" si="1"/>
        <v>5932600</v>
      </c>
    </row>
    <row r="12" spans="1:8" x14ac:dyDescent="0.3">
      <c r="A12" s="1"/>
      <c r="B12" s="49" t="s">
        <v>17</v>
      </c>
      <c r="C12" s="49"/>
      <c r="D12" s="49"/>
      <c r="E12" s="49"/>
      <c r="F12" s="49"/>
      <c r="G12" s="9">
        <f>SUM(G5:G11)</f>
        <v>5000000</v>
      </c>
      <c r="H12" s="9">
        <f>SUM(H5:H11)</f>
        <v>44432700</v>
      </c>
    </row>
  </sheetData>
  <mergeCells count="2">
    <mergeCell ref="B12:F12"/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355E-1BE8-4460-AEB6-6FCFC9672762}">
  <dimension ref="A1:H11"/>
  <sheetViews>
    <sheetView topLeftCell="B1" zoomScale="175" zoomScaleNormal="175" workbookViewId="0">
      <selection activeCell="F4" sqref="F4"/>
    </sheetView>
  </sheetViews>
  <sheetFormatPr defaultRowHeight="14.4" x14ac:dyDescent="0.3"/>
  <cols>
    <col min="1" max="1" width="4" bestFit="1" customWidth="1"/>
    <col min="2" max="2" width="14.6640625" bestFit="1" customWidth="1"/>
    <col min="3" max="3" width="8" bestFit="1" customWidth="1"/>
    <col min="4" max="4" width="7.33203125" bestFit="1" customWidth="1"/>
    <col min="5" max="5" width="4.5546875" bestFit="1" customWidth="1"/>
    <col min="6" max="6" width="9.44140625" bestFit="1" customWidth="1"/>
    <col min="7" max="8" width="12.5546875" bestFit="1" customWidth="1"/>
  </cols>
  <sheetData>
    <row r="1" spans="1:8" x14ac:dyDescent="0.3">
      <c r="B1" s="50" t="s">
        <v>41</v>
      </c>
      <c r="C1" s="50"/>
      <c r="D1" s="50"/>
      <c r="E1" s="50"/>
      <c r="F1" s="50"/>
      <c r="G1" s="50"/>
      <c r="H1" s="50"/>
    </row>
    <row r="2" spans="1:8" x14ac:dyDescent="0.3">
      <c r="B2" s="51" t="s">
        <v>42</v>
      </c>
      <c r="C2" s="51"/>
      <c r="D2" s="51"/>
      <c r="E2" s="51"/>
      <c r="F2" s="51"/>
      <c r="G2" s="51"/>
      <c r="H2">
        <v>25000000</v>
      </c>
    </row>
    <row r="3" spans="1:8" x14ac:dyDescent="0.3">
      <c r="A3" s="1" t="s">
        <v>1</v>
      </c>
      <c r="B3" s="3" t="s">
        <v>21</v>
      </c>
      <c r="C3" s="3" t="s">
        <v>22</v>
      </c>
      <c r="D3" s="3" t="s">
        <v>23</v>
      </c>
      <c r="E3" s="3" t="s">
        <v>43</v>
      </c>
      <c r="F3" s="3" t="s">
        <v>44</v>
      </c>
      <c r="G3" s="3" t="s">
        <v>26</v>
      </c>
      <c r="H3" s="3" t="s">
        <v>27</v>
      </c>
    </row>
    <row r="4" spans="1:8" x14ac:dyDescent="0.3">
      <c r="A4" s="1">
        <v>1</v>
      </c>
      <c r="B4" s="1" t="s">
        <v>45</v>
      </c>
      <c r="C4" s="1" t="s">
        <v>46</v>
      </c>
      <c r="D4" s="1">
        <v>170000</v>
      </c>
      <c r="E4" s="1">
        <v>24</v>
      </c>
      <c r="F4" s="1">
        <f>IF(E4&lt;=24,D4*E4,D4*24+D4*(E4-24)*2)</f>
        <v>4080000</v>
      </c>
      <c r="G4" s="10">
        <f>($H$2-$F$11)/$E$11*E4</f>
        <v>546206.89655172417</v>
      </c>
      <c r="H4" s="10">
        <f>F4+G4</f>
        <v>4626206.8965517245</v>
      </c>
    </row>
    <row r="5" spans="1:8" x14ac:dyDescent="0.3">
      <c r="A5" s="1">
        <v>2</v>
      </c>
      <c r="B5" s="1" t="s">
        <v>47</v>
      </c>
      <c r="C5" s="1" t="s">
        <v>48</v>
      </c>
      <c r="D5" s="1">
        <v>150000</v>
      </c>
      <c r="E5" s="1">
        <v>22</v>
      </c>
      <c r="F5" s="1">
        <f t="shared" ref="F5:F10" si="0">IF(E5&lt;=24,D5*E5,D5*24+D5*(E5-24)*2)</f>
        <v>3300000</v>
      </c>
      <c r="G5" s="10">
        <f t="shared" ref="G5:G10" si="1">($H$2-$F$11)/$E$11*E5</f>
        <v>500689.6551724138</v>
      </c>
      <c r="H5" s="10">
        <f t="shared" ref="H5:H10" si="2">F5+G5</f>
        <v>3800689.6551724137</v>
      </c>
    </row>
    <row r="6" spans="1:8" x14ac:dyDescent="0.3">
      <c r="A6" s="1">
        <v>3</v>
      </c>
      <c r="B6" s="1" t="s">
        <v>49</v>
      </c>
      <c r="C6" s="1" t="s">
        <v>33</v>
      </c>
      <c r="D6" s="1">
        <v>130000</v>
      </c>
      <c r="E6" s="1">
        <v>24</v>
      </c>
      <c r="F6" s="1">
        <f t="shared" si="0"/>
        <v>3120000</v>
      </c>
      <c r="G6" s="10">
        <f t="shared" si="1"/>
        <v>546206.89655172417</v>
      </c>
      <c r="H6" s="10">
        <f t="shared" si="2"/>
        <v>3666206.8965517241</v>
      </c>
    </row>
    <row r="7" spans="1:8" x14ac:dyDescent="0.3">
      <c r="A7" s="1">
        <v>4</v>
      </c>
      <c r="B7" s="1" t="s">
        <v>50</v>
      </c>
      <c r="C7" s="1" t="s">
        <v>35</v>
      </c>
      <c r="D7" s="1">
        <v>110000</v>
      </c>
      <c r="E7" s="1">
        <v>25</v>
      </c>
      <c r="F7" s="1">
        <f t="shared" si="0"/>
        <v>2860000</v>
      </c>
      <c r="G7" s="10">
        <f t="shared" si="1"/>
        <v>568965.51724137936</v>
      </c>
      <c r="H7" s="10">
        <f t="shared" si="2"/>
        <v>3428965.5172413792</v>
      </c>
    </row>
    <row r="8" spans="1:8" x14ac:dyDescent="0.3">
      <c r="A8" s="1">
        <v>5</v>
      </c>
      <c r="B8" s="1" t="s">
        <v>51</v>
      </c>
      <c r="C8" s="1" t="s">
        <v>37</v>
      </c>
      <c r="D8" s="1">
        <v>100000</v>
      </c>
      <c r="E8" s="1">
        <v>25</v>
      </c>
      <c r="F8" s="1">
        <f t="shared" si="0"/>
        <v>2600000</v>
      </c>
      <c r="G8" s="10">
        <f t="shared" si="1"/>
        <v>568965.51724137936</v>
      </c>
      <c r="H8" s="10">
        <f t="shared" si="2"/>
        <v>3168965.5172413792</v>
      </c>
    </row>
    <row r="9" spans="1:8" x14ac:dyDescent="0.3">
      <c r="A9" s="1">
        <v>6</v>
      </c>
      <c r="B9" s="1" t="s">
        <v>52</v>
      </c>
      <c r="C9" s="1" t="s">
        <v>37</v>
      </c>
      <c r="D9" s="1">
        <v>80000</v>
      </c>
      <c r="E9" s="1">
        <v>28</v>
      </c>
      <c r="F9" s="1">
        <f t="shared" si="0"/>
        <v>2560000</v>
      </c>
      <c r="G9" s="10">
        <f t="shared" si="1"/>
        <v>637241.37931034481</v>
      </c>
      <c r="H9" s="10">
        <f t="shared" si="2"/>
        <v>3197241.3793103448</v>
      </c>
    </row>
    <row r="10" spans="1:8" x14ac:dyDescent="0.3">
      <c r="A10" s="1">
        <v>7</v>
      </c>
      <c r="B10" s="1" t="s">
        <v>53</v>
      </c>
      <c r="C10" s="1" t="s">
        <v>37</v>
      </c>
      <c r="D10" s="1">
        <v>90000</v>
      </c>
      <c r="E10" s="1">
        <v>26</v>
      </c>
      <c r="F10" s="1">
        <f t="shared" si="0"/>
        <v>2520000</v>
      </c>
      <c r="G10" s="10">
        <f t="shared" si="1"/>
        <v>591724.13793103455</v>
      </c>
      <c r="H10" s="10">
        <f t="shared" si="2"/>
        <v>3111724.1379310344</v>
      </c>
    </row>
    <row r="11" spans="1:8" x14ac:dyDescent="0.3">
      <c r="A11" s="52" t="s">
        <v>54</v>
      </c>
      <c r="B11" s="52"/>
      <c r="C11" s="52"/>
      <c r="D11" s="52"/>
      <c r="E11" s="1">
        <f>SUM(E4:E10)</f>
        <v>174</v>
      </c>
      <c r="F11" s="1">
        <f>SUM(F4:F10)</f>
        <v>21040000</v>
      </c>
      <c r="G11" s="1">
        <f t="shared" ref="G11:H11" si="3">SUM(G4:G10)</f>
        <v>3960000</v>
      </c>
      <c r="H11" s="1">
        <f t="shared" si="3"/>
        <v>24999999.999999996</v>
      </c>
    </row>
  </sheetData>
  <mergeCells count="3">
    <mergeCell ref="B2:G2"/>
    <mergeCell ref="A11:D11"/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ACB8-86B5-4EFD-A51C-AB3501D99494}">
  <dimension ref="A1:H16"/>
  <sheetViews>
    <sheetView zoomScale="175" zoomScaleNormal="175" workbookViewId="0">
      <selection activeCell="H5" sqref="H5"/>
    </sheetView>
  </sheetViews>
  <sheetFormatPr defaultRowHeight="14.4" x14ac:dyDescent="0.3"/>
  <cols>
    <col min="1" max="1" width="3.109375" bestFit="1" customWidth="1"/>
    <col min="2" max="2" width="18.6640625" bestFit="1" customWidth="1"/>
    <col min="3" max="3" width="5.44140625" bestFit="1" customWidth="1"/>
    <col min="4" max="4" width="6.88671875" bestFit="1" customWidth="1"/>
    <col min="5" max="5" width="5.6640625" bestFit="1" customWidth="1"/>
    <col min="6" max="6" width="8.44140625" bestFit="1" customWidth="1"/>
    <col min="7" max="7" width="10.44140625" bestFit="1" customWidth="1"/>
  </cols>
  <sheetData>
    <row r="1" spans="1:8" s="5" customFormat="1" x14ac:dyDescent="0.3">
      <c r="A1" s="50" t="s">
        <v>55</v>
      </c>
      <c r="B1" s="50"/>
      <c r="C1" s="50"/>
      <c r="D1" s="50"/>
      <c r="E1" s="50"/>
      <c r="F1" s="50"/>
      <c r="G1" s="50"/>
      <c r="H1" s="50"/>
    </row>
    <row r="2" spans="1:8" x14ac:dyDescent="0.3">
      <c r="A2" s="45" t="s">
        <v>56</v>
      </c>
      <c r="B2" s="45"/>
      <c r="C2" s="45"/>
      <c r="D2" s="45"/>
      <c r="E2" s="45"/>
      <c r="F2" s="45"/>
      <c r="G2" s="45"/>
      <c r="H2" s="45"/>
    </row>
    <row r="3" spans="1:8" s="5" customFormat="1" ht="28.8" x14ac:dyDescent="0.3">
      <c r="A3" s="13" t="s">
        <v>57</v>
      </c>
      <c r="B3" s="13" t="s">
        <v>58</v>
      </c>
      <c r="C3" s="14" t="s">
        <v>59</v>
      </c>
      <c r="D3" s="14" t="s">
        <v>60</v>
      </c>
      <c r="E3" s="13" t="s">
        <v>61</v>
      </c>
      <c r="F3" s="14" t="s">
        <v>62</v>
      </c>
      <c r="G3" s="14" t="s">
        <v>63</v>
      </c>
      <c r="H3" s="14" t="s">
        <v>64</v>
      </c>
    </row>
    <row r="4" spans="1:8" x14ac:dyDescent="0.3">
      <c r="A4" s="1">
        <v>1</v>
      </c>
      <c r="B4" s="1" t="s">
        <v>65</v>
      </c>
      <c r="C4" s="1">
        <v>4</v>
      </c>
      <c r="D4" s="1">
        <v>8</v>
      </c>
      <c r="E4" s="15">
        <f>(C4*2+D4)/3</f>
        <v>5.333333333333333</v>
      </c>
      <c r="F4" s="1" t="str">
        <f>IF(OR(E4&lt;5,C4&lt;3,D4&lt;3),"Rớt","Đậu")</f>
        <v>Đậu</v>
      </c>
      <c r="G4" s="1" t="str">
        <f>IF(E4&lt;5,"Yếu",IF(E4&lt;7,"Trung bình",IF(E4&lt;=8,"Khá","Giỏi")))</f>
        <v>Trung bình</v>
      </c>
      <c r="H4" s="1">
        <f>RANK(E4,$E$4:$E$13,0)</f>
        <v>8</v>
      </c>
    </row>
    <row r="5" spans="1:8" x14ac:dyDescent="0.3">
      <c r="A5" s="1">
        <v>2</v>
      </c>
      <c r="B5" s="1" t="s">
        <v>66</v>
      </c>
      <c r="C5" s="1">
        <v>7</v>
      </c>
      <c r="D5" s="1">
        <v>7</v>
      </c>
      <c r="E5" s="15">
        <f t="shared" ref="E5:E13" si="0">(C5*2+D5)/3</f>
        <v>7</v>
      </c>
      <c r="F5" s="1" t="str">
        <f t="shared" ref="F5:F13" si="1">IF(OR(E5&lt;5,C5&lt;3,D5&lt;3),"Rớt","Đậu")</f>
        <v>Đậu</v>
      </c>
      <c r="G5" s="1" t="str">
        <f t="shared" ref="G5:G13" si="2">IF(E5&lt;5,"Yếu",IF(E5&lt;7,"Trung bình",IF(E5&lt;=8,"Khá","Giỏi")))</f>
        <v>Khá</v>
      </c>
      <c r="H5" s="1">
        <f t="shared" ref="H5:H13" si="3">RANK(E5,$E$4:$E$13,0)</f>
        <v>5</v>
      </c>
    </row>
    <row r="6" spans="1:8" x14ac:dyDescent="0.3">
      <c r="A6" s="1">
        <v>3</v>
      </c>
      <c r="B6" s="1" t="s">
        <v>67</v>
      </c>
      <c r="C6" s="1">
        <v>7</v>
      </c>
      <c r="D6" s="1">
        <v>2</v>
      </c>
      <c r="E6" s="15">
        <f t="shared" si="0"/>
        <v>5.333333333333333</v>
      </c>
      <c r="F6" s="1" t="str">
        <f t="shared" si="1"/>
        <v>Rớt</v>
      </c>
      <c r="G6" s="1" t="str">
        <f t="shared" si="2"/>
        <v>Trung bình</v>
      </c>
      <c r="H6" s="1">
        <f t="shared" si="3"/>
        <v>8</v>
      </c>
    </row>
    <row r="7" spans="1:8" x14ac:dyDescent="0.3">
      <c r="A7" s="1">
        <v>4</v>
      </c>
      <c r="B7" s="1" t="s">
        <v>68</v>
      </c>
      <c r="C7" s="1">
        <v>6</v>
      </c>
      <c r="D7" s="1">
        <v>5</v>
      </c>
      <c r="E7" s="15">
        <f t="shared" si="0"/>
        <v>5.666666666666667</v>
      </c>
      <c r="F7" s="1" t="str">
        <f t="shared" si="1"/>
        <v>Đậu</v>
      </c>
      <c r="G7" s="1" t="str">
        <f t="shared" si="2"/>
        <v>Trung bình</v>
      </c>
      <c r="H7" s="1">
        <f t="shared" si="3"/>
        <v>7</v>
      </c>
    </row>
    <row r="8" spans="1:8" x14ac:dyDescent="0.3">
      <c r="A8" s="1">
        <v>5</v>
      </c>
      <c r="B8" s="1" t="s">
        <v>69</v>
      </c>
      <c r="C8" s="1">
        <v>5</v>
      </c>
      <c r="D8" s="1">
        <v>4</v>
      </c>
      <c r="E8" s="15">
        <f t="shared" si="0"/>
        <v>4.666666666666667</v>
      </c>
      <c r="F8" s="1" t="str">
        <f t="shared" si="1"/>
        <v>Rớt</v>
      </c>
      <c r="G8" s="1" t="str">
        <f t="shared" si="2"/>
        <v>Yếu</v>
      </c>
      <c r="H8" s="1">
        <f t="shared" si="3"/>
        <v>10</v>
      </c>
    </row>
    <row r="9" spans="1:8" x14ac:dyDescent="0.3">
      <c r="A9" s="1">
        <v>6</v>
      </c>
      <c r="B9" s="1" t="s">
        <v>70</v>
      </c>
      <c r="C9" s="1">
        <v>9</v>
      </c>
      <c r="D9" s="1">
        <v>10</v>
      </c>
      <c r="E9" s="15">
        <f t="shared" si="0"/>
        <v>9.3333333333333339</v>
      </c>
      <c r="F9" s="1" t="str">
        <f t="shared" si="1"/>
        <v>Đậu</v>
      </c>
      <c r="G9" s="1" t="str">
        <f t="shared" si="2"/>
        <v>Giỏi</v>
      </c>
      <c r="H9" s="1">
        <f t="shared" si="3"/>
        <v>1</v>
      </c>
    </row>
    <row r="10" spans="1:8" x14ac:dyDescent="0.3">
      <c r="A10" s="1">
        <v>7</v>
      </c>
      <c r="B10" s="1" t="s">
        <v>71</v>
      </c>
      <c r="C10" s="1">
        <v>6</v>
      </c>
      <c r="D10" s="1">
        <v>6</v>
      </c>
      <c r="E10" s="15">
        <f t="shared" si="0"/>
        <v>6</v>
      </c>
      <c r="F10" s="1" t="str">
        <f t="shared" si="1"/>
        <v>Đậu</v>
      </c>
      <c r="G10" s="1" t="str">
        <f t="shared" si="2"/>
        <v>Trung bình</v>
      </c>
      <c r="H10" s="1">
        <f t="shared" si="3"/>
        <v>6</v>
      </c>
    </row>
    <row r="11" spans="1:8" x14ac:dyDescent="0.3">
      <c r="A11" s="1">
        <v>8</v>
      </c>
      <c r="B11" s="1" t="s">
        <v>72</v>
      </c>
      <c r="C11" s="1">
        <v>8</v>
      </c>
      <c r="D11" s="1">
        <v>9</v>
      </c>
      <c r="E11" s="15">
        <f t="shared" si="0"/>
        <v>8.3333333333333339</v>
      </c>
      <c r="F11" s="1" t="str">
        <f t="shared" si="1"/>
        <v>Đậu</v>
      </c>
      <c r="G11" s="1" t="str">
        <f t="shared" si="2"/>
        <v>Giỏi</v>
      </c>
      <c r="H11" s="1">
        <f t="shared" si="3"/>
        <v>2</v>
      </c>
    </row>
    <row r="12" spans="1:8" x14ac:dyDescent="0.3">
      <c r="A12" s="1">
        <v>9</v>
      </c>
      <c r="B12" s="1" t="s">
        <v>73</v>
      </c>
      <c r="C12" s="1">
        <v>8</v>
      </c>
      <c r="D12" s="1">
        <v>7</v>
      </c>
      <c r="E12" s="15">
        <f t="shared" si="0"/>
        <v>7.666666666666667</v>
      </c>
      <c r="F12" s="1" t="str">
        <f t="shared" si="1"/>
        <v>Đậu</v>
      </c>
      <c r="G12" s="1" t="str">
        <f t="shared" si="2"/>
        <v>Khá</v>
      </c>
      <c r="H12" s="1">
        <f t="shared" si="3"/>
        <v>4</v>
      </c>
    </row>
    <row r="13" spans="1:8" x14ac:dyDescent="0.3">
      <c r="A13" s="1">
        <v>10</v>
      </c>
      <c r="B13" s="1" t="s">
        <v>40</v>
      </c>
      <c r="C13" s="1">
        <v>9</v>
      </c>
      <c r="D13" s="1">
        <v>6</v>
      </c>
      <c r="E13" s="15">
        <f t="shared" si="0"/>
        <v>8</v>
      </c>
      <c r="F13" s="1" t="str">
        <f t="shared" si="1"/>
        <v>Đậu</v>
      </c>
      <c r="G13" s="1" t="str">
        <f t="shared" si="2"/>
        <v>Khá</v>
      </c>
      <c r="H13" s="1">
        <f t="shared" si="3"/>
        <v>3</v>
      </c>
    </row>
    <row r="14" spans="1:8" x14ac:dyDescent="0.3">
      <c r="C14" s="53" t="s">
        <v>74</v>
      </c>
      <c r="D14" s="53"/>
      <c r="E14" s="53"/>
      <c r="F14" s="16">
        <f>AVERAGE(E4:E13)</f>
        <v>6.7333333333333343</v>
      </c>
    </row>
    <row r="15" spans="1:8" x14ac:dyDescent="0.3">
      <c r="C15" s="45" t="s">
        <v>75</v>
      </c>
      <c r="D15" s="45"/>
      <c r="E15" s="45"/>
      <c r="F15" s="11">
        <f>MAX(E4:E13)</f>
        <v>9.3333333333333339</v>
      </c>
    </row>
    <row r="16" spans="1:8" x14ac:dyDescent="0.3">
      <c r="C16" s="45" t="s">
        <v>76</v>
      </c>
      <c r="D16" s="45"/>
      <c r="E16" s="45"/>
      <c r="F16" s="11">
        <f>MIN(E4:E13)</f>
        <v>4.666666666666667</v>
      </c>
    </row>
  </sheetData>
  <mergeCells count="5">
    <mergeCell ref="A1:H1"/>
    <mergeCell ref="A2:H2"/>
    <mergeCell ref="C14:E14"/>
    <mergeCell ref="C15:E15"/>
    <mergeCell ref="C16:E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DD54-A1A8-4B8F-8545-E66B00CB56B7}">
  <dimension ref="A1:O9"/>
  <sheetViews>
    <sheetView zoomScale="115" zoomScaleNormal="115" workbookViewId="0">
      <selection activeCell="G12" sqref="G12"/>
    </sheetView>
  </sheetViews>
  <sheetFormatPr defaultRowHeight="14.4" x14ac:dyDescent="0.3"/>
  <cols>
    <col min="2" max="2" width="6.44140625" bestFit="1" customWidth="1"/>
    <col min="3" max="3" width="6.5546875" bestFit="1" customWidth="1"/>
    <col min="4" max="5" width="11.88671875" bestFit="1" customWidth="1"/>
    <col min="6" max="6" width="7.5546875" bestFit="1" customWidth="1"/>
    <col min="7" max="7" width="9.88671875" bestFit="1" customWidth="1"/>
    <col min="8" max="8" width="9.5546875" bestFit="1" customWidth="1"/>
    <col min="9" max="9" width="9.6640625" bestFit="1" customWidth="1"/>
    <col min="10" max="10" width="10.44140625" bestFit="1" customWidth="1"/>
    <col min="12" max="12" width="10.5546875" bestFit="1" customWidth="1"/>
    <col min="13" max="14" width="7.6640625" bestFit="1" customWidth="1"/>
    <col min="15" max="15" width="8.88671875" customWidth="1"/>
  </cols>
  <sheetData>
    <row r="1" spans="1:15" x14ac:dyDescent="0.3">
      <c r="B1" s="54" t="s">
        <v>77</v>
      </c>
      <c r="C1" s="54"/>
      <c r="D1" s="54"/>
      <c r="E1" s="54"/>
      <c r="F1" s="54"/>
      <c r="G1" s="54"/>
      <c r="H1" s="54"/>
      <c r="I1" s="54"/>
      <c r="J1" s="54"/>
    </row>
    <row r="2" spans="1:15" s="6" customFormat="1" ht="28.8" x14ac:dyDescent="0.3">
      <c r="A2" s="8" t="s">
        <v>78</v>
      </c>
      <c r="B2" s="17" t="s">
        <v>79</v>
      </c>
      <c r="C2" s="17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17" t="s">
        <v>85</v>
      </c>
      <c r="I2" s="17" t="s">
        <v>86</v>
      </c>
      <c r="J2" s="8" t="s">
        <v>7</v>
      </c>
      <c r="L2" s="8" t="s">
        <v>87</v>
      </c>
      <c r="M2" s="17" t="s">
        <v>88</v>
      </c>
      <c r="N2" s="17" t="s">
        <v>89</v>
      </c>
    </row>
    <row r="3" spans="1:15" x14ac:dyDescent="0.3">
      <c r="A3" s="8">
        <v>1</v>
      </c>
      <c r="B3" s="1" t="s">
        <v>90</v>
      </c>
      <c r="C3" s="1" t="s">
        <v>91</v>
      </c>
      <c r="D3" s="18">
        <v>40360</v>
      </c>
      <c r="E3" s="18">
        <v>40388</v>
      </c>
      <c r="F3" s="19">
        <f>INT(DATEDIF(D3,E3,"D")/7)</f>
        <v>4</v>
      </c>
      <c r="G3" s="19">
        <f>MOD(DATEDIF(D3,E3,"D"),7)</f>
        <v>0</v>
      </c>
      <c r="H3" s="1">
        <f>VLOOKUP(C3,$L$3:$N$5,2,FALSE)*F3</f>
        <v>380</v>
      </c>
      <c r="I3" s="1">
        <f>VLOOKUP(C3,$L$3:$N$5,3,FALSE)*G3</f>
        <v>0</v>
      </c>
      <c r="J3" s="1">
        <f>H3+I3</f>
        <v>380</v>
      </c>
      <c r="L3" s="1" t="s">
        <v>92</v>
      </c>
      <c r="M3" s="1">
        <v>130</v>
      </c>
      <c r="N3" s="1">
        <v>20</v>
      </c>
    </row>
    <row r="4" spans="1:15" x14ac:dyDescent="0.3">
      <c r="A4" s="8">
        <v>2</v>
      </c>
      <c r="B4" s="1" t="s">
        <v>93</v>
      </c>
      <c r="C4" s="1" t="s">
        <v>92</v>
      </c>
      <c r="D4" s="18">
        <v>40361</v>
      </c>
      <c r="E4" s="18">
        <v>40378</v>
      </c>
      <c r="F4" s="19">
        <f t="shared" ref="F4:F9" si="0">INT(DATEDIF(D4,E4,"D")/7)</f>
        <v>2</v>
      </c>
      <c r="G4" s="19">
        <f t="shared" ref="G4:G9" si="1">MOD(DATEDIF(D4,E4,"D"),7)</f>
        <v>3</v>
      </c>
      <c r="H4" s="1">
        <f>VLOOKUP(C4,$L$3:$N$5,2,FALSE)*F4</f>
        <v>260</v>
      </c>
      <c r="I4" s="1">
        <f t="shared" ref="I4:I9" si="2">VLOOKUP(C4,$L$3:$N$5,3,FALSE)*G4</f>
        <v>60</v>
      </c>
      <c r="J4" s="1">
        <f t="shared" ref="J4:J9" si="3">H4+I4</f>
        <v>320</v>
      </c>
      <c r="L4" s="1" t="s">
        <v>91</v>
      </c>
      <c r="M4" s="1">
        <v>95</v>
      </c>
      <c r="N4" s="1">
        <v>15</v>
      </c>
    </row>
    <row r="5" spans="1:15" x14ac:dyDescent="0.3">
      <c r="A5" s="8">
        <v>3</v>
      </c>
      <c r="B5" s="1" t="s">
        <v>94</v>
      </c>
      <c r="C5" s="1" t="s">
        <v>92</v>
      </c>
      <c r="D5" s="18">
        <v>40364</v>
      </c>
      <c r="E5" s="18">
        <v>40372</v>
      </c>
      <c r="F5" s="19">
        <f t="shared" si="0"/>
        <v>1</v>
      </c>
      <c r="G5" s="19">
        <f t="shared" si="1"/>
        <v>1</v>
      </c>
      <c r="H5" s="1">
        <f t="shared" ref="H5:H9" si="4">VLOOKUP(C5,$L$3:$N$5,2,FALSE)*F5</f>
        <v>130</v>
      </c>
      <c r="I5" s="1">
        <f t="shared" si="2"/>
        <v>20</v>
      </c>
      <c r="J5" s="1">
        <f t="shared" si="3"/>
        <v>150</v>
      </c>
      <c r="L5" s="1" t="s">
        <v>95</v>
      </c>
      <c r="M5" s="1">
        <v>65</v>
      </c>
      <c r="N5" s="1">
        <v>10</v>
      </c>
    </row>
    <row r="6" spans="1:15" x14ac:dyDescent="0.3">
      <c r="A6" s="8">
        <v>4</v>
      </c>
      <c r="B6" s="1" t="s">
        <v>96</v>
      </c>
      <c r="C6" s="1" t="s">
        <v>95</v>
      </c>
      <c r="D6" s="18">
        <v>40366</v>
      </c>
      <c r="E6" s="18">
        <v>40384</v>
      </c>
      <c r="F6" s="19">
        <f t="shared" si="0"/>
        <v>2</v>
      </c>
      <c r="G6" s="19">
        <f t="shared" si="1"/>
        <v>4</v>
      </c>
      <c r="H6" s="1">
        <f t="shared" si="4"/>
        <v>130</v>
      </c>
      <c r="I6" s="1">
        <f t="shared" si="2"/>
        <v>40</v>
      </c>
      <c r="J6" s="1">
        <f>H6+I6</f>
        <v>170</v>
      </c>
    </row>
    <row r="7" spans="1:15" x14ac:dyDescent="0.3">
      <c r="A7" s="8">
        <v>5</v>
      </c>
      <c r="B7" s="1" t="s">
        <v>97</v>
      </c>
      <c r="C7" s="1" t="s">
        <v>91</v>
      </c>
      <c r="D7" s="18">
        <v>40367</v>
      </c>
      <c r="E7" s="18">
        <v>40379</v>
      </c>
      <c r="F7" s="19">
        <f t="shared" si="0"/>
        <v>1</v>
      </c>
      <c r="G7" s="19">
        <f t="shared" si="1"/>
        <v>5</v>
      </c>
      <c r="H7" s="1">
        <f t="shared" si="4"/>
        <v>95</v>
      </c>
      <c r="I7" s="1">
        <f t="shared" si="2"/>
        <v>75</v>
      </c>
      <c r="J7" s="1">
        <f t="shared" si="3"/>
        <v>170</v>
      </c>
    </row>
    <row r="8" spans="1:15" x14ac:dyDescent="0.3">
      <c r="A8" s="8">
        <v>6</v>
      </c>
      <c r="B8" s="1" t="s">
        <v>98</v>
      </c>
      <c r="C8" s="1" t="s">
        <v>95</v>
      </c>
      <c r="D8" s="18">
        <v>40368</v>
      </c>
      <c r="E8" s="18">
        <v>40380</v>
      </c>
      <c r="F8" s="19">
        <f t="shared" si="0"/>
        <v>1</v>
      </c>
      <c r="G8" s="19">
        <f t="shared" si="1"/>
        <v>5</v>
      </c>
      <c r="H8" s="1">
        <f t="shared" si="4"/>
        <v>65</v>
      </c>
      <c r="I8" s="1">
        <f t="shared" si="2"/>
        <v>50</v>
      </c>
      <c r="J8" s="1">
        <f t="shared" si="3"/>
        <v>115</v>
      </c>
      <c r="L8" s="1" t="s">
        <v>99</v>
      </c>
      <c r="M8" s="1" t="s">
        <v>92</v>
      </c>
      <c r="N8" s="1" t="s">
        <v>91</v>
      </c>
      <c r="O8" s="1" t="s">
        <v>95</v>
      </c>
    </row>
    <row r="9" spans="1:15" x14ac:dyDescent="0.3">
      <c r="A9" s="8">
        <v>7</v>
      </c>
      <c r="B9" s="1" t="s">
        <v>100</v>
      </c>
      <c r="C9" s="1" t="s">
        <v>91</v>
      </c>
      <c r="D9" s="18">
        <v>40369</v>
      </c>
      <c r="E9" s="18">
        <v>40384</v>
      </c>
      <c r="F9" s="19">
        <f t="shared" si="0"/>
        <v>2</v>
      </c>
      <c r="G9" s="19">
        <f t="shared" si="1"/>
        <v>1</v>
      </c>
      <c r="H9" s="1">
        <f t="shared" si="4"/>
        <v>190</v>
      </c>
      <c r="I9" s="1">
        <f t="shared" si="2"/>
        <v>15</v>
      </c>
      <c r="J9" s="1">
        <f t="shared" si="3"/>
        <v>205</v>
      </c>
      <c r="L9" s="1" t="s">
        <v>101</v>
      </c>
      <c r="M9" s="1">
        <f>SUMIF($C$3:$C$9,"A",J3:J9)</f>
        <v>470</v>
      </c>
      <c r="N9" s="1">
        <f>SUMIF($C$3:$C$9,"B",J3:J9)</f>
        <v>755</v>
      </c>
      <c r="O9" s="1">
        <f>SUMIF($C$3:$C$9,"C",J3:J9)</f>
        <v>285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ED69-157D-4E15-A7D0-5C3558EEA35D}">
  <dimension ref="A2:S18"/>
  <sheetViews>
    <sheetView zoomScale="115" zoomScaleNormal="115" workbookViewId="0">
      <selection activeCell="G3" sqref="G3"/>
    </sheetView>
  </sheetViews>
  <sheetFormatPr defaultRowHeight="14.4" x14ac:dyDescent="0.3"/>
  <cols>
    <col min="2" max="2" width="16.6640625" bestFit="1" customWidth="1"/>
    <col min="3" max="3" width="8" bestFit="1" customWidth="1"/>
    <col min="4" max="4" width="9.109375" bestFit="1" customWidth="1"/>
    <col min="5" max="5" width="11.6640625" bestFit="1" customWidth="1"/>
    <col min="6" max="7" width="7.88671875" bestFit="1" customWidth="1"/>
    <col min="8" max="8" width="12.109375" bestFit="1" customWidth="1"/>
    <col min="11" max="11" width="17.33203125" bestFit="1" customWidth="1"/>
    <col min="12" max="12" width="7.88671875" bestFit="1" customWidth="1"/>
    <col min="13" max="14" width="9.5546875" bestFit="1" customWidth="1"/>
    <col min="16" max="16" width="10.109375" bestFit="1" customWidth="1"/>
    <col min="17" max="19" width="9" bestFit="1" customWidth="1"/>
  </cols>
  <sheetData>
    <row r="2" spans="1:19" s="12" customFormat="1" ht="28.8" x14ac:dyDescent="0.3">
      <c r="A2" s="13" t="s">
        <v>1</v>
      </c>
      <c r="B2" s="13" t="s">
        <v>102</v>
      </c>
      <c r="C2" s="13" t="s">
        <v>103</v>
      </c>
      <c r="D2" s="13" t="s">
        <v>104</v>
      </c>
      <c r="E2" s="14" t="s">
        <v>105</v>
      </c>
      <c r="F2" s="13" t="s">
        <v>106</v>
      </c>
      <c r="G2" s="13" t="s">
        <v>107</v>
      </c>
      <c r="H2" s="13" t="s">
        <v>108</v>
      </c>
    </row>
    <row r="3" spans="1:19" x14ac:dyDescent="0.3">
      <c r="A3" s="1">
        <v>3</v>
      </c>
      <c r="B3" s="1" t="s">
        <v>109</v>
      </c>
      <c r="C3" s="1" t="s">
        <v>110</v>
      </c>
      <c r="D3" s="1" t="s">
        <v>111</v>
      </c>
      <c r="E3" s="1" t="str">
        <f t="shared" ref="E3:E14" si="0">VLOOKUP(LEFT(D3,2),$J$4:$N$6,2,FALSE)</f>
        <v>ĐÀ LẠT</v>
      </c>
      <c r="F3" s="1">
        <f t="shared" ref="F3:F14" si="1">VLOOKUP(LEFT(D3,2),$J$4:$N$6,3,FALSE)</f>
        <v>250000</v>
      </c>
      <c r="G3" s="1">
        <f t="shared" ref="G3:G14" si="2">VLOOKUP(LEFT(D3,2),$J$4:$N$6,IF(RIGHT(D3,1)="A",4,5),FALSE)</f>
        <v>550000</v>
      </c>
      <c r="H3" s="1">
        <f t="shared" ref="H3:H14" si="3">F3+G3</f>
        <v>800000</v>
      </c>
      <c r="J3" s="3" t="s">
        <v>112</v>
      </c>
      <c r="K3" s="3" t="s">
        <v>113</v>
      </c>
      <c r="L3" s="3" t="s">
        <v>106</v>
      </c>
      <c r="M3" s="3" t="s">
        <v>114</v>
      </c>
      <c r="N3" s="3" t="s">
        <v>115</v>
      </c>
      <c r="P3" s="1" t="s">
        <v>112</v>
      </c>
      <c r="Q3" s="1" t="s">
        <v>116</v>
      </c>
      <c r="R3" s="1" t="s">
        <v>117</v>
      </c>
      <c r="S3" s="1" t="s">
        <v>118</v>
      </c>
    </row>
    <row r="4" spans="1:19" x14ac:dyDescent="0.3">
      <c r="A4" s="1">
        <v>4</v>
      </c>
      <c r="B4" s="1" t="s">
        <v>119</v>
      </c>
      <c r="C4" s="1" t="s">
        <v>120</v>
      </c>
      <c r="D4" s="1" t="s">
        <v>121</v>
      </c>
      <c r="E4" s="1" t="str">
        <f t="shared" si="0"/>
        <v>ĐÀ LẠT</v>
      </c>
      <c r="F4" s="1">
        <f t="shared" si="1"/>
        <v>250000</v>
      </c>
      <c r="G4" s="1">
        <f t="shared" si="2"/>
        <v>600000</v>
      </c>
      <c r="H4" s="1">
        <f t="shared" si="3"/>
        <v>850000</v>
      </c>
      <c r="J4" s="1" t="s">
        <v>116</v>
      </c>
      <c r="K4" s="1" t="s">
        <v>122</v>
      </c>
      <c r="L4" s="1">
        <v>100000</v>
      </c>
      <c r="M4" s="1">
        <v>500000</v>
      </c>
      <c r="N4" s="1">
        <v>450000</v>
      </c>
      <c r="P4" s="1" t="s">
        <v>101</v>
      </c>
      <c r="Q4" s="1">
        <f>SUMIF($E$3:$E$14,"VŨNG TÀU",$H$3:$H$14)</f>
        <v>2900000</v>
      </c>
      <c r="R4" s="1">
        <f>SUMIF($E$3:$E$14,"NHA TRANG",$H$3:$H$14)</f>
        <v>2900000</v>
      </c>
      <c r="S4" s="1">
        <f>SUMIF($E$3:$E$14,"ĐÀ LẠT",$H$3:$H$14)</f>
        <v>3250000</v>
      </c>
    </row>
    <row r="5" spans="1:19" x14ac:dyDescent="0.3">
      <c r="A5" s="1">
        <v>9</v>
      </c>
      <c r="B5" s="1" t="s">
        <v>123</v>
      </c>
      <c r="C5" s="1" t="s">
        <v>124</v>
      </c>
      <c r="D5" s="1" t="s">
        <v>111</v>
      </c>
      <c r="E5" s="1" t="str">
        <f t="shared" si="0"/>
        <v>ĐÀ LẠT</v>
      </c>
      <c r="F5" s="1">
        <f t="shared" si="1"/>
        <v>250000</v>
      </c>
      <c r="G5" s="1">
        <f t="shared" si="2"/>
        <v>550000</v>
      </c>
      <c r="H5" s="1">
        <f t="shared" si="3"/>
        <v>800000</v>
      </c>
      <c r="J5" s="1" t="s">
        <v>117</v>
      </c>
      <c r="K5" s="1" t="s">
        <v>125</v>
      </c>
      <c r="L5" s="1">
        <v>300000</v>
      </c>
      <c r="M5" s="1">
        <v>700000</v>
      </c>
      <c r="N5" s="1">
        <v>650000</v>
      </c>
    </row>
    <row r="6" spans="1:19" x14ac:dyDescent="0.3">
      <c r="A6" s="1">
        <v>11</v>
      </c>
      <c r="B6" s="1" t="s">
        <v>126</v>
      </c>
      <c r="C6" s="1" t="s">
        <v>127</v>
      </c>
      <c r="D6" s="1" t="s">
        <v>111</v>
      </c>
      <c r="E6" s="1" t="str">
        <f t="shared" si="0"/>
        <v>ĐÀ LẠT</v>
      </c>
      <c r="F6" s="1">
        <f t="shared" si="1"/>
        <v>250000</v>
      </c>
      <c r="G6" s="1">
        <f t="shared" si="2"/>
        <v>550000</v>
      </c>
      <c r="H6" s="1">
        <f t="shared" si="3"/>
        <v>800000</v>
      </c>
      <c r="J6" s="1" t="s">
        <v>118</v>
      </c>
      <c r="K6" s="1" t="s">
        <v>128</v>
      </c>
      <c r="L6" s="1">
        <v>250000</v>
      </c>
      <c r="M6" s="1">
        <v>600000</v>
      </c>
      <c r="N6" s="1">
        <v>550000</v>
      </c>
    </row>
    <row r="7" spans="1:19" x14ac:dyDescent="0.3">
      <c r="A7" s="1">
        <v>2</v>
      </c>
      <c r="B7" s="1" t="s">
        <v>129</v>
      </c>
      <c r="C7" s="1" t="s">
        <v>130</v>
      </c>
      <c r="D7" s="1" t="s">
        <v>131</v>
      </c>
      <c r="E7" s="1" t="str">
        <f t="shared" si="0"/>
        <v>NHA TRANG</v>
      </c>
      <c r="F7" s="1">
        <f t="shared" si="1"/>
        <v>300000</v>
      </c>
      <c r="G7" s="1">
        <f t="shared" si="2"/>
        <v>650000</v>
      </c>
      <c r="H7" s="1">
        <f t="shared" si="3"/>
        <v>950000</v>
      </c>
    </row>
    <row r="8" spans="1:19" x14ac:dyDescent="0.3">
      <c r="A8" s="1">
        <v>7</v>
      </c>
      <c r="B8" s="1" t="s">
        <v>132</v>
      </c>
      <c r="C8" s="1" t="s">
        <v>133</v>
      </c>
      <c r="D8" s="1" t="s">
        <v>131</v>
      </c>
      <c r="E8" s="1" t="str">
        <f t="shared" si="0"/>
        <v>NHA TRANG</v>
      </c>
      <c r="F8" s="1">
        <f t="shared" si="1"/>
        <v>300000</v>
      </c>
      <c r="G8" s="1">
        <f t="shared" si="2"/>
        <v>650000</v>
      </c>
      <c r="H8" s="1">
        <f t="shared" si="3"/>
        <v>950000</v>
      </c>
    </row>
    <row r="9" spans="1:19" x14ac:dyDescent="0.3">
      <c r="A9" s="1">
        <v>10</v>
      </c>
      <c r="B9" s="1" t="s">
        <v>134</v>
      </c>
      <c r="C9" s="1" t="s">
        <v>135</v>
      </c>
      <c r="D9" s="1" t="s">
        <v>136</v>
      </c>
      <c r="E9" s="1" t="str">
        <f t="shared" si="0"/>
        <v>NHA TRANG</v>
      </c>
      <c r="F9" s="1">
        <f t="shared" si="1"/>
        <v>300000</v>
      </c>
      <c r="G9" s="1">
        <f t="shared" si="2"/>
        <v>700000</v>
      </c>
      <c r="H9" s="1">
        <f t="shared" si="3"/>
        <v>1000000</v>
      </c>
    </row>
    <row r="10" spans="1:19" x14ac:dyDescent="0.3">
      <c r="A10" s="1">
        <v>1</v>
      </c>
      <c r="B10" s="1" t="s">
        <v>126</v>
      </c>
      <c r="C10" s="1" t="s">
        <v>137</v>
      </c>
      <c r="D10" s="1" t="s">
        <v>138</v>
      </c>
      <c r="E10" s="1" t="str">
        <f t="shared" si="0"/>
        <v>VŨNG TÀU</v>
      </c>
      <c r="F10" s="1">
        <f t="shared" si="1"/>
        <v>100000</v>
      </c>
      <c r="G10" s="1">
        <f t="shared" si="2"/>
        <v>500000</v>
      </c>
      <c r="H10" s="1">
        <f t="shared" si="3"/>
        <v>600000</v>
      </c>
    </row>
    <row r="11" spans="1:19" x14ac:dyDescent="0.3">
      <c r="A11" s="1">
        <v>5</v>
      </c>
      <c r="B11" s="1" t="s">
        <v>139</v>
      </c>
      <c r="C11" s="1" t="s">
        <v>140</v>
      </c>
      <c r="D11" s="1" t="s">
        <v>141</v>
      </c>
      <c r="E11" s="1" t="str">
        <f t="shared" si="0"/>
        <v>VŨNG TÀU</v>
      </c>
      <c r="F11" s="1">
        <f t="shared" si="1"/>
        <v>100000</v>
      </c>
      <c r="G11" s="1">
        <f t="shared" si="2"/>
        <v>450000</v>
      </c>
      <c r="H11" s="1">
        <f t="shared" si="3"/>
        <v>550000</v>
      </c>
    </row>
    <row r="12" spans="1:19" x14ac:dyDescent="0.3">
      <c r="A12" s="1">
        <v>6</v>
      </c>
      <c r="B12" s="1" t="s">
        <v>142</v>
      </c>
      <c r="C12" s="1" t="s">
        <v>143</v>
      </c>
      <c r="D12" s="1" t="s">
        <v>138</v>
      </c>
      <c r="E12" s="1" t="str">
        <f t="shared" si="0"/>
        <v>VŨNG TÀU</v>
      </c>
      <c r="F12" s="1">
        <f t="shared" si="1"/>
        <v>100000</v>
      </c>
      <c r="G12" s="1">
        <f t="shared" si="2"/>
        <v>500000</v>
      </c>
      <c r="H12" s="1">
        <f t="shared" si="3"/>
        <v>600000</v>
      </c>
    </row>
    <row r="13" spans="1:19" x14ac:dyDescent="0.3">
      <c r="A13" s="1">
        <v>8</v>
      </c>
      <c r="B13" s="1" t="s">
        <v>144</v>
      </c>
      <c r="C13" s="1" t="s">
        <v>145</v>
      </c>
      <c r="D13" s="1" t="s">
        <v>141</v>
      </c>
      <c r="E13" s="1" t="str">
        <f t="shared" si="0"/>
        <v>VŨNG TÀU</v>
      </c>
      <c r="F13" s="1">
        <f t="shared" si="1"/>
        <v>100000</v>
      </c>
      <c r="G13" s="1">
        <f t="shared" si="2"/>
        <v>450000</v>
      </c>
      <c r="H13" s="1">
        <f t="shared" si="3"/>
        <v>550000</v>
      </c>
    </row>
    <row r="14" spans="1:19" x14ac:dyDescent="0.3">
      <c r="A14" s="1">
        <v>12</v>
      </c>
      <c r="B14" s="1" t="s">
        <v>146</v>
      </c>
      <c r="C14" s="1" t="s">
        <v>147</v>
      </c>
      <c r="D14" s="1" t="s">
        <v>138</v>
      </c>
      <c r="E14" s="1" t="str">
        <f t="shared" si="0"/>
        <v>VŨNG TÀU</v>
      </c>
      <c r="F14" s="1">
        <f t="shared" si="1"/>
        <v>100000</v>
      </c>
      <c r="G14" s="1">
        <f t="shared" si="2"/>
        <v>500000</v>
      </c>
      <c r="H14" s="1">
        <f t="shared" si="3"/>
        <v>600000</v>
      </c>
    </row>
    <row r="18" s="5" customFormat="1" x14ac:dyDescent="0.3"/>
  </sheetData>
  <sortState xmlns:xlrd2="http://schemas.microsoft.com/office/spreadsheetml/2017/richdata2" ref="A3:H14">
    <sortCondition ref="E3:E1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6D55-FB4C-49E7-BE1C-C65F411BD20A}">
  <dimension ref="A1:S16"/>
  <sheetViews>
    <sheetView zoomScale="115" zoomScaleNormal="115" workbookViewId="0">
      <selection activeCell="L4" sqref="L4"/>
    </sheetView>
  </sheetViews>
  <sheetFormatPr defaultColWidth="9.109375" defaultRowHeight="13.8" x14ac:dyDescent="0.25"/>
  <cols>
    <col min="1" max="1" width="9.33203125" style="20" bestFit="1" customWidth="1"/>
    <col min="2" max="2" width="11" style="20" bestFit="1" customWidth="1"/>
    <col min="3" max="3" width="10.5546875" style="20" bestFit="1" customWidth="1"/>
    <col min="4" max="4" width="11.44140625" style="20" bestFit="1" customWidth="1"/>
    <col min="5" max="10" width="9.109375" style="20"/>
    <col min="11" max="11" width="13.33203125" style="20" bestFit="1" customWidth="1"/>
    <col min="12" max="14" width="10.88671875" style="20" bestFit="1" customWidth="1"/>
    <col min="15" max="15" width="9.109375" style="20"/>
    <col min="16" max="16" width="12.88671875" style="20" bestFit="1" customWidth="1"/>
    <col min="17" max="17" width="9.109375" style="20"/>
    <col min="18" max="18" width="9.88671875" style="20" bestFit="1" customWidth="1"/>
    <col min="19" max="19" width="10.5546875" style="20" bestFit="1" customWidth="1"/>
    <col min="20" max="16384" width="9.109375" style="20"/>
  </cols>
  <sheetData>
    <row r="1" spans="1:19" s="21" customFormat="1" ht="27.6" x14ac:dyDescent="0.3">
      <c r="A1" s="26" t="s">
        <v>57</v>
      </c>
      <c r="B1" s="26" t="s">
        <v>148</v>
      </c>
      <c r="C1" s="27" t="s">
        <v>149</v>
      </c>
      <c r="D1" s="27" t="s">
        <v>150</v>
      </c>
      <c r="E1" s="27" t="s">
        <v>151</v>
      </c>
      <c r="F1" s="27" t="s">
        <v>152</v>
      </c>
      <c r="G1" s="27" t="s">
        <v>153</v>
      </c>
      <c r="H1" s="27" t="s">
        <v>154</v>
      </c>
      <c r="I1" s="27" t="s">
        <v>155</v>
      </c>
    </row>
    <row r="2" spans="1:19" x14ac:dyDescent="0.25">
      <c r="A2" s="22">
        <v>1</v>
      </c>
      <c r="B2" s="22" t="s">
        <v>156</v>
      </c>
      <c r="C2" s="24" t="str">
        <f>HLOOKUP(B2,$Q$3:$S$4,2,0)</f>
        <v>TIVI</v>
      </c>
      <c r="D2" s="28">
        <v>39726</v>
      </c>
      <c r="E2" s="22">
        <v>30</v>
      </c>
      <c r="F2" s="22">
        <f>HLOOKUP(B2, $K$3:$N$6,IF(MONTH(D2)=10,2,IF(MONTH(D2)=11,3,4)),0)*E2</f>
        <v>7500</v>
      </c>
      <c r="G2" s="22">
        <f>HLOOKUP(B2, $P$3:$S$5,3,0)*F2</f>
        <v>0</v>
      </c>
      <c r="H2" s="22">
        <f>IF(MONTH(D2)=10,1%,IF(MONTH(D2)=11,2%,3%))*F2</f>
        <v>75</v>
      </c>
      <c r="I2" s="22">
        <f>F2-G2-H2</f>
        <v>7425</v>
      </c>
      <c r="K2" s="20" t="s">
        <v>157</v>
      </c>
      <c r="P2" s="20" t="s">
        <v>158</v>
      </c>
    </row>
    <row r="3" spans="1:19" x14ac:dyDescent="0.25">
      <c r="A3" s="22">
        <v>2</v>
      </c>
      <c r="B3" s="22" t="s">
        <v>159</v>
      </c>
      <c r="C3" s="24" t="str">
        <f t="shared" ref="C3:C9" si="0">HLOOKUP(B3,$Q$3:$S$4,2,0)</f>
        <v>TỦ LẠNH</v>
      </c>
      <c r="D3" s="28">
        <v>39731</v>
      </c>
      <c r="E3" s="22">
        <v>20</v>
      </c>
      <c r="F3" s="22">
        <f t="shared" ref="F3:F9" si="1">HLOOKUP(B3, $K$3:$N$6,IF(MONTH(D3)=10,2,IF(MONTH(D3)=11,3,4)),0)*E3</f>
        <v>6000</v>
      </c>
      <c r="G3" s="22">
        <f t="shared" ref="G3:G9" si="2">HLOOKUP(B3, $P$3:$S$5,3,0)*F3</f>
        <v>300</v>
      </c>
      <c r="H3" s="22">
        <f t="shared" ref="H3:H9" si="3">IF(MONTH(D3)=10,1%,IF(MONTH(D3)=11,2%,3%))*F3</f>
        <v>60</v>
      </c>
      <c r="I3" s="22">
        <f t="shared" ref="I3:I9" si="4">F3-G3-H3</f>
        <v>5640</v>
      </c>
      <c r="K3" s="22" t="s">
        <v>160</v>
      </c>
      <c r="L3" s="22" t="s">
        <v>156</v>
      </c>
      <c r="M3" s="22" t="s">
        <v>159</v>
      </c>
      <c r="N3" s="22" t="s">
        <v>161</v>
      </c>
      <c r="P3" s="22" t="s">
        <v>148</v>
      </c>
      <c r="Q3" s="24" t="s">
        <v>156</v>
      </c>
      <c r="R3" s="24" t="s">
        <v>159</v>
      </c>
      <c r="S3" s="24" t="s">
        <v>161</v>
      </c>
    </row>
    <row r="4" spans="1:19" x14ac:dyDescent="0.25">
      <c r="A4" s="22">
        <v>3</v>
      </c>
      <c r="B4" s="22" t="s">
        <v>161</v>
      </c>
      <c r="C4" s="24" t="str">
        <f t="shared" si="0"/>
        <v>MÁY GIẶT</v>
      </c>
      <c r="D4" s="28">
        <v>39749</v>
      </c>
      <c r="E4" s="22">
        <v>10</v>
      </c>
      <c r="F4" s="22">
        <f t="shared" si="1"/>
        <v>2800</v>
      </c>
      <c r="G4" s="22">
        <f t="shared" si="2"/>
        <v>280</v>
      </c>
      <c r="H4" s="22">
        <f t="shared" si="3"/>
        <v>28</v>
      </c>
      <c r="I4" s="22">
        <f t="shared" si="4"/>
        <v>2492</v>
      </c>
      <c r="K4" s="23">
        <v>39722</v>
      </c>
      <c r="L4" s="22">
        <v>250</v>
      </c>
      <c r="M4" s="22">
        <v>300</v>
      </c>
      <c r="N4" s="22">
        <v>280</v>
      </c>
      <c r="P4" s="22" t="s">
        <v>162</v>
      </c>
      <c r="Q4" s="24" t="s">
        <v>163</v>
      </c>
      <c r="R4" s="24" t="s">
        <v>164</v>
      </c>
      <c r="S4" s="24" t="s">
        <v>165</v>
      </c>
    </row>
    <row r="5" spans="1:19" x14ac:dyDescent="0.25">
      <c r="A5" s="22">
        <v>4</v>
      </c>
      <c r="B5" s="22" t="s">
        <v>161</v>
      </c>
      <c r="C5" s="24" t="str">
        <f t="shared" si="0"/>
        <v>MÁY GIẶT</v>
      </c>
      <c r="D5" s="28">
        <v>39759</v>
      </c>
      <c r="E5" s="22">
        <v>5</v>
      </c>
      <c r="F5" s="22">
        <f t="shared" si="1"/>
        <v>1350</v>
      </c>
      <c r="G5" s="22">
        <f t="shared" si="2"/>
        <v>135</v>
      </c>
      <c r="H5" s="22">
        <f t="shared" si="3"/>
        <v>27</v>
      </c>
      <c r="I5" s="22">
        <f t="shared" si="4"/>
        <v>1188</v>
      </c>
      <c r="K5" s="23">
        <v>39753</v>
      </c>
      <c r="L5" s="22">
        <v>240</v>
      </c>
      <c r="M5" s="22">
        <v>280</v>
      </c>
      <c r="N5" s="22">
        <v>270</v>
      </c>
      <c r="P5" s="22" t="s">
        <v>166</v>
      </c>
      <c r="Q5" s="25">
        <v>0</v>
      </c>
      <c r="R5" s="25">
        <v>0.05</v>
      </c>
      <c r="S5" s="25">
        <v>0.1</v>
      </c>
    </row>
    <row r="6" spans="1:19" x14ac:dyDescent="0.25">
      <c r="A6" s="22">
        <v>5</v>
      </c>
      <c r="B6" s="22" t="s">
        <v>159</v>
      </c>
      <c r="C6" s="24" t="str">
        <f t="shared" si="0"/>
        <v>TỦ LẠNH</v>
      </c>
      <c r="D6" s="28">
        <v>39766</v>
      </c>
      <c r="E6" s="22">
        <v>15</v>
      </c>
      <c r="F6" s="22">
        <f t="shared" si="1"/>
        <v>4200</v>
      </c>
      <c r="G6" s="22">
        <f t="shared" si="2"/>
        <v>210</v>
      </c>
      <c r="H6" s="22">
        <f t="shared" si="3"/>
        <v>84</v>
      </c>
      <c r="I6" s="22">
        <f t="shared" si="4"/>
        <v>3906</v>
      </c>
      <c r="K6" s="23">
        <v>39783</v>
      </c>
      <c r="L6" s="22">
        <v>210</v>
      </c>
      <c r="M6" s="22">
        <v>250</v>
      </c>
      <c r="N6" s="22">
        <v>230</v>
      </c>
    </row>
    <row r="7" spans="1:19" x14ac:dyDescent="0.25">
      <c r="A7" s="22">
        <v>6</v>
      </c>
      <c r="B7" s="22" t="s">
        <v>156</v>
      </c>
      <c r="C7" s="24" t="str">
        <f t="shared" si="0"/>
        <v>TIVI</v>
      </c>
      <c r="D7" s="28">
        <v>39772</v>
      </c>
      <c r="E7" s="22">
        <v>20</v>
      </c>
      <c r="F7" s="22">
        <f t="shared" si="1"/>
        <v>4800</v>
      </c>
      <c r="G7" s="22">
        <f t="shared" si="2"/>
        <v>0</v>
      </c>
      <c r="H7" s="22">
        <f t="shared" si="3"/>
        <v>96</v>
      </c>
      <c r="I7" s="22">
        <f t="shared" si="4"/>
        <v>4704</v>
      </c>
    </row>
    <row r="8" spans="1:19" x14ac:dyDescent="0.25">
      <c r="A8" s="22">
        <v>7</v>
      </c>
      <c r="B8" s="22" t="s">
        <v>156</v>
      </c>
      <c r="C8" s="24" t="str">
        <f t="shared" si="0"/>
        <v>TIVI</v>
      </c>
      <c r="D8" s="28">
        <v>39784</v>
      </c>
      <c r="E8" s="22">
        <v>45</v>
      </c>
      <c r="F8" s="22">
        <f t="shared" si="1"/>
        <v>9450</v>
      </c>
      <c r="G8" s="22">
        <f t="shared" si="2"/>
        <v>0</v>
      </c>
      <c r="H8" s="22">
        <f t="shared" si="3"/>
        <v>283.5</v>
      </c>
      <c r="I8" s="22">
        <f t="shared" si="4"/>
        <v>9166.5</v>
      </c>
    </row>
    <row r="9" spans="1:19" x14ac:dyDescent="0.25">
      <c r="A9" s="22">
        <v>8</v>
      </c>
      <c r="B9" s="22" t="s">
        <v>159</v>
      </c>
      <c r="C9" s="24" t="str">
        <f t="shared" si="0"/>
        <v>TỦ LẠNH</v>
      </c>
      <c r="D9" s="28">
        <v>39803</v>
      </c>
      <c r="E9" s="22">
        <v>20</v>
      </c>
      <c r="F9" s="22">
        <f t="shared" si="1"/>
        <v>5000</v>
      </c>
      <c r="G9" s="22">
        <f t="shared" si="2"/>
        <v>250</v>
      </c>
      <c r="H9" s="22">
        <f t="shared" si="3"/>
        <v>150</v>
      </c>
      <c r="I9" s="22">
        <f t="shared" si="4"/>
        <v>4600</v>
      </c>
    </row>
    <row r="10" spans="1:19" x14ac:dyDescent="0.25">
      <c r="A10" s="55" t="s">
        <v>167</v>
      </c>
      <c r="B10" s="56"/>
      <c r="C10" s="56"/>
      <c r="D10" s="56"/>
      <c r="E10" s="57"/>
      <c r="F10" s="22">
        <f>SUM(F2:F9)</f>
        <v>41100</v>
      </c>
      <c r="G10" s="22">
        <f t="shared" ref="G10:I10" si="5">SUM(G2:G9)</f>
        <v>1175</v>
      </c>
      <c r="H10" s="22">
        <f t="shared" si="5"/>
        <v>803.5</v>
      </c>
      <c r="I10" s="22">
        <f t="shared" si="5"/>
        <v>39121.5</v>
      </c>
      <c r="K10" s="22" t="s">
        <v>162</v>
      </c>
      <c r="L10" s="22" t="s">
        <v>168</v>
      </c>
      <c r="M10" s="22" t="s">
        <v>164</v>
      </c>
      <c r="N10" s="22" t="s">
        <v>165</v>
      </c>
    </row>
    <row r="11" spans="1:19" x14ac:dyDescent="0.25">
      <c r="K11" s="22" t="s">
        <v>169</v>
      </c>
      <c r="L11" s="22">
        <f ca="1">SUMIF($C$2:$I$9,"TIVI",$I$2:$I$9)</f>
        <v>21295.5</v>
      </c>
      <c r="M11" s="22">
        <f ca="1">SUMIF($C$2:$I$9,"TỦ LẠNH",$I$2:$I$9)</f>
        <v>14146</v>
      </c>
      <c r="N11" s="22">
        <f ca="1">SUMIF($C$2:$I$9,"MÁY GIẶT",$I$2:$I$9)</f>
        <v>3680</v>
      </c>
    </row>
    <row r="13" spans="1:19" x14ac:dyDescent="0.25">
      <c r="K13" s="22"/>
      <c r="L13" s="22" t="s">
        <v>170</v>
      </c>
      <c r="M13" s="22" t="s">
        <v>171</v>
      </c>
      <c r="N13" s="22" t="s">
        <v>172</v>
      </c>
    </row>
    <row r="14" spans="1:19" x14ac:dyDescent="0.25">
      <c r="K14" s="22" t="s">
        <v>156</v>
      </c>
      <c r="L14" s="22">
        <f>SUMIFS($E$2:$E$9,$B$2:$B$9,"TV",$D$2:$D$9,"&gt;=1/10/2008",$D$2:$D$9,"&lt;1/11/2008")</f>
        <v>30</v>
      </c>
      <c r="M14" s="22">
        <f>SUMIFS($E$2:$E$9,$B$2:$B$9,"TV",$D$2:$D$9,"&gt;=1/11/2008",$D$2:$D$9,"&lt;1/12/2008")</f>
        <v>20</v>
      </c>
      <c r="N14" s="22">
        <f>SUMIFS($E$2:$E$9,$B$2:$B$9,"TV",$D$2:$D$9,"&gt;=1/12/2008",$D$2:$D$9,"&lt;1/1/2009")</f>
        <v>45</v>
      </c>
    </row>
    <row r="15" spans="1:19" x14ac:dyDescent="0.25">
      <c r="K15" s="22" t="s">
        <v>159</v>
      </c>
      <c r="L15" s="22">
        <f>SUMIFS($E$2:$E$9,$B$2:$B$9,"TL",$D$2:$D$9,"&gt;=1/10/2008",$D$2:$D$9,"&lt;1/11/2008")</f>
        <v>20</v>
      </c>
      <c r="M15" s="22">
        <f>SUMIFS($E$2:$E$9,$B$2:$B$9,"TL",$D$2:$D$9,"&gt;=1/11/2008",$D$2:$D$9,"&lt;1/12/2008")</f>
        <v>15</v>
      </c>
      <c r="N15" s="22">
        <f>SUMIFS($E$2:$E$9,$B$2:$B$9,"TL",$D$2:$D$9,"&gt;=1/12/2008",$D$2:$D$9,"&lt;1/1/2009")</f>
        <v>20</v>
      </c>
    </row>
    <row r="16" spans="1:19" x14ac:dyDescent="0.25">
      <c r="K16" s="22" t="s">
        <v>161</v>
      </c>
      <c r="L16" s="22">
        <f>SUMIFS($E$2:$E$9,$B$2:$B$9,"MG",$D$2:$D$9,"&gt;=1/10/2008",$D$2:$D$9,"&lt;1/11/2008")</f>
        <v>10</v>
      </c>
      <c r="M16" s="22">
        <f>SUMIFS($E$2:$E$9,$B$2:$B$9,"MG",$D$2:$D$9,"&gt;=1/11/2008",$D$2:$D$9,"&lt;1/12/2008")</f>
        <v>5</v>
      </c>
      <c r="N16" s="22">
        <f>SUMIFS($E$2:$E$9,$B$2:$B$9,"MG",$D$2:$D$9,"&gt;=1/12/2008",$D$2:$D$9,"&lt;1/1/2009")</f>
        <v>0</v>
      </c>
    </row>
  </sheetData>
  <mergeCells count="1">
    <mergeCell ref="A10:E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6687-B1DB-47EC-8C21-F6B5C3D6CE9E}">
  <dimension ref="A1:O24"/>
  <sheetViews>
    <sheetView zoomScale="130" zoomScaleNormal="130" workbookViewId="0">
      <selection activeCell="G4" sqref="G4"/>
    </sheetView>
  </sheetViews>
  <sheetFormatPr defaultRowHeight="14.4" x14ac:dyDescent="0.3"/>
  <cols>
    <col min="1" max="1" width="16.5546875" customWidth="1"/>
    <col min="2" max="2" width="16.88671875" bestFit="1" customWidth="1"/>
    <col min="5" max="5" width="10.33203125" bestFit="1" customWidth="1"/>
    <col min="6" max="6" width="11.5546875" bestFit="1" customWidth="1"/>
    <col min="7" max="7" width="16.6640625" bestFit="1" customWidth="1"/>
    <col min="8" max="8" width="10.33203125" bestFit="1" customWidth="1"/>
    <col min="9" max="9" width="11.5546875" bestFit="1" customWidth="1"/>
    <col min="10" max="10" width="8.5546875" bestFit="1" customWidth="1"/>
    <col min="12" max="13" width="10.33203125" bestFit="1" customWidth="1"/>
    <col min="14" max="14" width="11.5546875" bestFit="1" customWidth="1"/>
    <col min="15" max="15" width="10" customWidth="1"/>
  </cols>
  <sheetData>
    <row r="1" spans="1:15" x14ac:dyDescent="0.3">
      <c r="A1" t="s">
        <v>173</v>
      </c>
    </row>
    <row r="2" spans="1:15" x14ac:dyDescent="0.3">
      <c r="A2" s="54" t="s">
        <v>174</v>
      </c>
      <c r="B2" s="54"/>
      <c r="C2" s="54"/>
      <c r="D2" s="54"/>
      <c r="E2" s="54"/>
      <c r="F2" s="54"/>
      <c r="G2" s="54"/>
      <c r="H2" s="54"/>
      <c r="I2" s="54"/>
    </row>
    <row r="3" spans="1:15" ht="28.8" x14ac:dyDescent="0.3">
      <c r="A3" s="13" t="s">
        <v>1</v>
      </c>
      <c r="B3" s="13" t="s">
        <v>175</v>
      </c>
      <c r="C3" s="14" t="s">
        <v>151</v>
      </c>
      <c r="D3" s="13" t="s">
        <v>176</v>
      </c>
      <c r="E3" s="13" t="s">
        <v>177</v>
      </c>
      <c r="F3" s="14" t="s">
        <v>105</v>
      </c>
      <c r="G3" s="14" t="s">
        <v>178</v>
      </c>
      <c r="H3" s="14" t="s">
        <v>179</v>
      </c>
      <c r="I3" s="14" t="s">
        <v>155</v>
      </c>
    </row>
    <row r="4" spans="1:15" x14ac:dyDescent="0.3">
      <c r="A4" s="8">
        <v>1</v>
      </c>
      <c r="B4" s="1" t="s">
        <v>180</v>
      </c>
      <c r="C4" s="1">
        <v>50</v>
      </c>
      <c r="D4" s="1" t="s">
        <v>181</v>
      </c>
      <c r="E4" s="1" t="str">
        <f t="shared" ref="E4:E11" si="0">VLOOKUP(LEFT(D4,1),$A$15:$E$17,2,0)</f>
        <v>HUYNDAI</v>
      </c>
      <c r="F4" s="1" t="str">
        <f t="shared" ref="F4:F11" si="1">HLOOKUP(MID(D4,2,2),$B$20:$D$21,2,0)</f>
        <v>VŨNG TÀU</v>
      </c>
      <c r="G4" s="1">
        <f t="shared" ref="G4:G11" si="2">VLOOKUP(LEFT(D4,1),$A$14:$E$17,IF(MID(D4,2,2)="VT",3,IF(MID(D4,2,2)="NT",4,5)),0)*C4</f>
        <v>2000000</v>
      </c>
      <c r="H4" s="1">
        <f t="shared" ref="H4:H11" si="3">IF(RIGHT(D4,1)="A",0,10%*G4)</f>
        <v>0</v>
      </c>
      <c r="I4" s="1">
        <f t="shared" ref="I4:I11" si="4">G4-H4</f>
        <v>2000000</v>
      </c>
    </row>
    <row r="5" spans="1:15" x14ac:dyDescent="0.3">
      <c r="A5" s="8">
        <v>5</v>
      </c>
      <c r="B5" s="1" t="s">
        <v>182</v>
      </c>
      <c r="C5" s="1">
        <v>50</v>
      </c>
      <c r="D5" s="1" t="s">
        <v>183</v>
      </c>
      <c r="E5" s="1" t="str">
        <f t="shared" si="0"/>
        <v>HUYNDAI</v>
      </c>
      <c r="F5" s="1" t="str">
        <f t="shared" si="1"/>
        <v>NHA TRANG</v>
      </c>
      <c r="G5" s="1">
        <f t="shared" si="2"/>
        <v>3500000</v>
      </c>
      <c r="H5" s="1">
        <f t="shared" si="3"/>
        <v>350000</v>
      </c>
      <c r="I5" s="1">
        <f t="shared" si="4"/>
        <v>3150000</v>
      </c>
      <c r="L5" s="1"/>
      <c r="M5" s="1" t="s">
        <v>122</v>
      </c>
      <c r="N5" s="1" t="s">
        <v>125</v>
      </c>
      <c r="O5" s="1" t="s">
        <v>128</v>
      </c>
    </row>
    <row r="6" spans="1:15" x14ac:dyDescent="0.3">
      <c r="A6" s="8">
        <v>4</v>
      </c>
      <c r="B6" s="1" t="s">
        <v>184</v>
      </c>
      <c r="C6" s="1">
        <v>10</v>
      </c>
      <c r="D6" s="1" t="s">
        <v>185</v>
      </c>
      <c r="E6" s="1" t="str">
        <f t="shared" si="0"/>
        <v>MERCEDES</v>
      </c>
      <c r="F6" s="1" t="str">
        <f t="shared" si="1"/>
        <v>NHA TRANG</v>
      </c>
      <c r="G6" s="1">
        <f t="shared" si="2"/>
        <v>900000</v>
      </c>
      <c r="H6" s="1">
        <f t="shared" si="3"/>
        <v>90000</v>
      </c>
      <c r="I6" s="1">
        <f t="shared" si="4"/>
        <v>810000</v>
      </c>
      <c r="L6" s="1" t="s">
        <v>186</v>
      </c>
      <c r="M6" s="1">
        <f>SUMIFS($I$4:$I$11,$E$4:$E$11,"TOYOTA",$F$4:$F$11,"VŨNG TÀU")</f>
        <v>450000</v>
      </c>
      <c r="N6" s="1">
        <f>SUMIFS($I$4:$I$11,$E$4:$E$11,"TOYOTA",$F$4:$F$11,"NHA TRANG")</f>
        <v>3200000</v>
      </c>
      <c r="O6" s="1">
        <f>SUMIFS($I$4:$I$11,$E$4:$E$11,"TOYOTA",$F$4:$F$11,"ĐÀ LẠT")</f>
        <v>3000000</v>
      </c>
    </row>
    <row r="7" spans="1:15" x14ac:dyDescent="0.3">
      <c r="A7" s="8">
        <v>6</v>
      </c>
      <c r="B7" s="1" t="s">
        <v>187</v>
      </c>
      <c r="C7" s="1">
        <v>20</v>
      </c>
      <c r="D7" s="1" t="s">
        <v>188</v>
      </c>
      <c r="E7" s="1" t="str">
        <f t="shared" si="0"/>
        <v>MERCEDES</v>
      </c>
      <c r="F7" s="1" t="str">
        <f t="shared" si="1"/>
        <v>ĐÀ LẠT</v>
      </c>
      <c r="G7" s="1">
        <f t="shared" si="2"/>
        <v>2200000</v>
      </c>
      <c r="H7" s="1">
        <f t="shared" si="3"/>
        <v>220000</v>
      </c>
      <c r="I7" s="1">
        <f t="shared" si="4"/>
        <v>1980000</v>
      </c>
      <c r="L7" s="1" t="s">
        <v>189</v>
      </c>
      <c r="M7" s="1">
        <f>SUMIFS($I$4:$I$11,$E$4:$E$11,"MERCEDES",$F$4:$F$11,"VŨNG TÀU")</f>
        <v>3600000</v>
      </c>
      <c r="N7" s="1">
        <f>SUMIFS($I$4:$I$11,$E$4:$E$11,"MERCEDES",$F$4:$F$11,"NHA TRANG")</f>
        <v>810000</v>
      </c>
      <c r="O7" s="1">
        <f>SUMIFS($I$4:$I$11,$E$4:$E$11,"MERCEDES",$F$4:$F$11,"ĐÀ LẠT")</f>
        <v>1980000</v>
      </c>
    </row>
    <row r="8" spans="1:15" x14ac:dyDescent="0.3">
      <c r="A8" s="8">
        <v>7</v>
      </c>
      <c r="B8" s="1" t="s">
        <v>190</v>
      </c>
      <c r="C8" s="1">
        <v>60</v>
      </c>
      <c r="D8" s="1" t="s">
        <v>191</v>
      </c>
      <c r="E8" s="1" t="str">
        <f t="shared" si="0"/>
        <v>MERCEDES</v>
      </c>
      <c r="F8" s="1" t="str">
        <f t="shared" si="1"/>
        <v>VŨNG TÀU</v>
      </c>
      <c r="G8" s="1">
        <f t="shared" si="2"/>
        <v>3600000</v>
      </c>
      <c r="H8" s="1">
        <f t="shared" si="3"/>
        <v>0</v>
      </c>
      <c r="I8" s="1">
        <f t="shared" si="4"/>
        <v>3600000</v>
      </c>
      <c r="L8" s="1" t="s">
        <v>192</v>
      </c>
      <c r="M8" s="1">
        <f>SUMIFS($I$4:$I$11,$E$4:$E$11,"HUYNDAI",$F$4:$F$11,"VŨNG TÀU")</f>
        <v>2000000</v>
      </c>
      <c r="N8" s="1">
        <f>SUMIFS($I$4:$I$11,$E$4:$E$11,"HUYNDAI",$F$4:$F$11,"NHA TRANG")</f>
        <v>3150000</v>
      </c>
      <c r="O8" s="1">
        <f>SUMIFS($I$4:$I$11,$E$4:$E$11,"HUYNDAI",$F$4:$F$11,"ĐÀ LẠT")</f>
        <v>0</v>
      </c>
    </row>
    <row r="9" spans="1:15" x14ac:dyDescent="0.3">
      <c r="A9" s="8">
        <v>2</v>
      </c>
      <c r="B9" s="1" t="s">
        <v>193</v>
      </c>
      <c r="C9" s="1">
        <v>30</v>
      </c>
      <c r="D9" s="1" t="s">
        <v>194</v>
      </c>
      <c r="E9" s="1" t="str">
        <f t="shared" si="0"/>
        <v>TOYOTA</v>
      </c>
      <c r="F9" s="1" t="str">
        <f t="shared" si="1"/>
        <v>ĐÀ LẠT</v>
      </c>
      <c r="G9" s="1">
        <f t="shared" si="2"/>
        <v>3000000</v>
      </c>
      <c r="H9" s="1">
        <f t="shared" si="3"/>
        <v>0</v>
      </c>
      <c r="I9" s="1">
        <f t="shared" si="4"/>
        <v>3000000</v>
      </c>
    </row>
    <row r="10" spans="1:15" x14ac:dyDescent="0.3">
      <c r="A10" s="8">
        <v>3</v>
      </c>
      <c r="B10" s="1" t="s">
        <v>195</v>
      </c>
      <c r="C10" s="1">
        <v>10</v>
      </c>
      <c r="D10" s="1" t="s">
        <v>196</v>
      </c>
      <c r="E10" s="1" t="str">
        <f t="shared" si="0"/>
        <v>TOYOTA</v>
      </c>
      <c r="F10" s="1" t="str">
        <f t="shared" si="1"/>
        <v>VŨNG TÀU</v>
      </c>
      <c r="G10" s="1">
        <f t="shared" si="2"/>
        <v>500000</v>
      </c>
      <c r="H10" s="1">
        <f t="shared" si="3"/>
        <v>50000</v>
      </c>
      <c r="I10" s="1">
        <f t="shared" si="4"/>
        <v>450000</v>
      </c>
    </row>
    <row r="11" spans="1:15" x14ac:dyDescent="0.3">
      <c r="A11" s="8">
        <v>8</v>
      </c>
      <c r="B11" s="1" t="s">
        <v>197</v>
      </c>
      <c r="C11" s="1">
        <v>40</v>
      </c>
      <c r="D11" s="1" t="s">
        <v>198</v>
      </c>
      <c r="E11" s="1" t="str">
        <f t="shared" si="0"/>
        <v>TOYOTA</v>
      </c>
      <c r="F11" s="1" t="str">
        <f t="shared" si="1"/>
        <v>NHA TRANG</v>
      </c>
      <c r="G11" s="1">
        <f t="shared" si="2"/>
        <v>3200000</v>
      </c>
      <c r="H11" s="1">
        <f t="shared" si="3"/>
        <v>0</v>
      </c>
      <c r="I11" s="1">
        <f t="shared" si="4"/>
        <v>3200000</v>
      </c>
    </row>
    <row r="13" spans="1:15" x14ac:dyDescent="0.3">
      <c r="A13" t="s">
        <v>157</v>
      </c>
    </row>
    <row r="14" spans="1:15" x14ac:dyDescent="0.3">
      <c r="A14" s="1" t="s">
        <v>199</v>
      </c>
      <c r="B14" s="1" t="s">
        <v>177</v>
      </c>
      <c r="C14" s="1" t="s">
        <v>116</v>
      </c>
      <c r="D14" s="1" t="s">
        <v>117</v>
      </c>
      <c r="E14" s="1" t="s">
        <v>118</v>
      </c>
    </row>
    <row r="15" spans="1:15" x14ac:dyDescent="0.3">
      <c r="A15" s="8" t="s">
        <v>200</v>
      </c>
      <c r="B15" s="1" t="s">
        <v>186</v>
      </c>
      <c r="C15" s="1">
        <v>50000</v>
      </c>
      <c r="D15" s="1">
        <v>80000</v>
      </c>
      <c r="E15" s="1">
        <v>100000</v>
      </c>
    </row>
    <row r="16" spans="1:15" x14ac:dyDescent="0.3">
      <c r="A16" s="8" t="s">
        <v>201</v>
      </c>
      <c r="B16" s="1" t="s">
        <v>189</v>
      </c>
      <c r="C16" s="1">
        <v>60000</v>
      </c>
      <c r="D16" s="1">
        <v>90000</v>
      </c>
      <c r="E16" s="1">
        <v>110000</v>
      </c>
    </row>
    <row r="17" spans="1:5" x14ac:dyDescent="0.3">
      <c r="A17" s="8" t="s">
        <v>202</v>
      </c>
      <c r="B17" s="1" t="s">
        <v>192</v>
      </c>
      <c r="C17" s="1">
        <v>40000</v>
      </c>
      <c r="D17" s="1">
        <v>70000</v>
      </c>
      <c r="E17" s="1">
        <v>90000</v>
      </c>
    </row>
    <row r="19" spans="1:5" x14ac:dyDescent="0.3">
      <c r="A19" t="s">
        <v>158</v>
      </c>
    </row>
    <row r="20" spans="1:5" x14ac:dyDescent="0.3">
      <c r="A20" s="1" t="s">
        <v>203</v>
      </c>
      <c r="B20" s="1" t="s">
        <v>116</v>
      </c>
      <c r="C20" s="1" t="s">
        <v>117</v>
      </c>
      <c r="D20" s="1" t="s">
        <v>118</v>
      </c>
    </row>
    <row r="21" spans="1:5" x14ac:dyDescent="0.3">
      <c r="A21" s="1" t="s">
        <v>113</v>
      </c>
      <c r="B21" s="1" t="s">
        <v>122</v>
      </c>
      <c r="C21" s="1" t="s">
        <v>125</v>
      </c>
      <c r="D21" s="1" t="s">
        <v>128</v>
      </c>
    </row>
    <row r="23" spans="1:5" x14ac:dyDescent="0.3">
      <c r="A23" s="1" t="s">
        <v>203</v>
      </c>
      <c r="B23" s="1" t="s">
        <v>116</v>
      </c>
      <c r="C23" s="1" t="s">
        <v>117</v>
      </c>
      <c r="D23" s="1" t="s">
        <v>118</v>
      </c>
    </row>
    <row r="24" spans="1:5" x14ac:dyDescent="0.3">
      <c r="A24" s="1" t="s">
        <v>204</v>
      </c>
      <c r="B24" s="1">
        <f>SUMIF($F$4:$F$11,"VŨNG TÀU",$I$4:$I$11)</f>
        <v>6050000</v>
      </c>
      <c r="C24" s="1">
        <f>SUMIF($F$4:$F$11,"NHA TRANG",$I$4:$I$11)</f>
        <v>7160000</v>
      </c>
      <c r="D24" s="1">
        <f>SUMIF($F$4:$F$11,"ĐÀ LẠT",$I$4:$I$11)</f>
        <v>4980000</v>
      </c>
    </row>
  </sheetData>
  <sortState xmlns:xlrd2="http://schemas.microsoft.com/office/spreadsheetml/2017/richdata2" ref="A4:I11">
    <sortCondition ref="E4:E11"/>
  </sortState>
  <mergeCells count="1">
    <mergeCell ref="A2:I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427F-9890-466D-9AF4-D4E49729DE8F}">
  <dimension ref="A2:O17"/>
  <sheetViews>
    <sheetView topLeftCell="B1" zoomScale="145" zoomScaleNormal="145" workbookViewId="0">
      <selection activeCell="H4" sqref="H4"/>
    </sheetView>
  </sheetViews>
  <sheetFormatPr defaultColWidth="9.109375" defaultRowHeight="13.8" x14ac:dyDescent="0.25"/>
  <cols>
    <col min="1" max="1" width="4.6640625" style="20" bestFit="1" customWidth="1"/>
    <col min="2" max="2" width="19.44140625" style="20" bestFit="1" customWidth="1"/>
    <col min="3" max="3" width="9.33203125" style="20" bestFit="1" customWidth="1"/>
    <col min="4" max="4" width="7.5546875" style="20" bestFit="1" customWidth="1"/>
    <col min="5" max="5" width="12.6640625" style="20" bestFit="1" customWidth="1"/>
    <col min="6" max="6" width="14.44140625" style="20" customWidth="1"/>
    <col min="7" max="7" width="10.44140625" style="20" customWidth="1"/>
    <col min="8" max="8" width="11.109375" style="20" bestFit="1" customWidth="1"/>
    <col min="9" max="9" width="11.6640625" style="20" bestFit="1" customWidth="1"/>
    <col min="10" max="10" width="9.109375" style="20"/>
    <col min="11" max="11" width="19.33203125" style="20" bestFit="1" customWidth="1"/>
    <col min="12" max="12" width="12.6640625" style="20" bestFit="1" customWidth="1"/>
    <col min="13" max="13" width="13" style="20" bestFit="1" customWidth="1"/>
    <col min="14" max="14" width="9.44140625" style="20" bestFit="1" customWidth="1"/>
    <col min="15" max="15" width="8.6640625" style="20" customWidth="1"/>
    <col min="16" max="16384" width="9.109375" style="20"/>
  </cols>
  <sheetData>
    <row r="2" spans="1:15" s="21" customFormat="1" x14ac:dyDescent="0.3">
      <c r="C2" s="29"/>
      <c r="D2" s="29"/>
    </row>
    <row r="3" spans="1:15" s="21" customFormat="1" ht="27.6" x14ac:dyDescent="0.3">
      <c r="A3" s="26" t="s">
        <v>1</v>
      </c>
      <c r="B3" s="26" t="s">
        <v>175</v>
      </c>
      <c r="C3" s="27" t="s">
        <v>151</v>
      </c>
      <c r="D3" s="26" t="s">
        <v>176</v>
      </c>
      <c r="E3" s="26" t="s">
        <v>177</v>
      </c>
      <c r="F3" s="27" t="s">
        <v>105</v>
      </c>
      <c r="G3" s="27" t="s">
        <v>178</v>
      </c>
      <c r="H3" s="26" t="s">
        <v>205</v>
      </c>
      <c r="I3" s="26" t="s">
        <v>155</v>
      </c>
      <c r="K3" s="26" t="s">
        <v>199</v>
      </c>
      <c r="L3" s="26" t="s">
        <v>177</v>
      </c>
      <c r="M3" s="26" t="s">
        <v>116</v>
      </c>
      <c r="N3" s="26" t="s">
        <v>117</v>
      </c>
      <c r="O3" s="26" t="s">
        <v>118</v>
      </c>
    </row>
    <row r="4" spans="1:15" x14ac:dyDescent="0.25">
      <c r="A4" s="24">
        <v>1</v>
      </c>
      <c r="B4" s="22" t="s">
        <v>180</v>
      </c>
      <c r="C4" s="22">
        <v>50</v>
      </c>
      <c r="D4" s="22" t="s">
        <v>181</v>
      </c>
      <c r="E4" s="22" t="str">
        <f t="shared" ref="E4:E11" si="0">VLOOKUP(LEFT(D4,1),$K$4:$L$6,2,0)</f>
        <v>HUYNDAI</v>
      </c>
      <c r="F4" s="22" t="str">
        <f t="shared" ref="F4:F11" si="1">HLOOKUP(MID(D4,2,2),$L$8:$N$9,2,0)</f>
        <v>VŨNG TÀU</v>
      </c>
      <c r="G4" s="22">
        <f t="shared" ref="G4:G11" si="2">VLOOKUP(E4,$L$4:$O$6,IF(MID(D4,2,2)="VT",2,IF(MID(D4,2,2)="NT",3,4)),0)*C4</f>
        <v>2000000</v>
      </c>
      <c r="H4" s="22">
        <f t="shared" ref="H4:H11" si="3">IF(RIGHT(D4,1)="A",0,10%*G4)</f>
        <v>0</v>
      </c>
      <c r="I4" s="22">
        <f t="shared" ref="I4:I11" si="4">G4-H4</f>
        <v>2000000</v>
      </c>
      <c r="K4" s="24" t="s">
        <v>200</v>
      </c>
      <c r="L4" s="22" t="s">
        <v>186</v>
      </c>
      <c r="M4" s="22">
        <v>50000</v>
      </c>
      <c r="N4" s="22">
        <v>80000</v>
      </c>
      <c r="O4" s="22">
        <v>100000</v>
      </c>
    </row>
    <row r="5" spans="1:15" x14ac:dyDescent="0.25">
      <c r="A5" s="24">
        <v>2</v>
      </c>
      <c r="B5" s="22" t="s">
        <v>182</v>
      </c>
      <c r="C5" s="22">
        <v>50</v>
      </c>
      <c r="D5" s="22" t="s">
        <v>183</v>
      </c>
      <c r="E5" s="22" t="str">
        <f t="shared" si="0"/>
        <v>HUYNDAI</v>
      </c>
      <c r="F5" s="22" t="str">
        <f t="shared" si="1"/>
        <v>NHA TRANG</v>
      </c>
      <c r="G5" s="22">
        <f t="shared" si="2"/>
        <v>3500000</v>
      </c>
      <c r="H5" s="22">
        <f t="shared" si="3"/>
        <v>350000</v>
      </c>
      <c r="I5" s="22">
        <f t="shared" si="4"/>
        <v>3150000</v>
      </c>
      <c r="J5" s="30"/>
      <c r="K5" s="24" t="s">
        <v>201</v>
      </c>
      <c r="L5" s="22" t="s">
        <v>189</v>
      </c>
      <c r="M5" s="22">
        <v>60000</v>
      </c>
      <c r="N5" s="22">
        <v>90000</v>
      </c>
      <c r="O5" s="22">
        <v>110000</v>
      </c>
    </row>
    <row r="6" spans="1:15" x14ac:dyDescent="0.25">
      <c r="A6" s="24">
        <v>3</v>
      </c>
      <c r="B6" s="22" t="s">
        <v>187</v>
      </c>
      <c r="C6" s="22">
        <v>20</v>
      </c>
      <c r="D6" s="22" t="s">
        <v>188</v>
      </c>
      <c r="E6" s="22" t="str">
        <f t="shared" si="0"/>
        <v>MERCEDES</v>
      </c>
      <c r="F6" s="22" t="str">
        <f t="shared" si="1"/>
        <v>ĐÀ LẠT</v>
      </c>
      <c r="G6" s="22">
        <f t="shared" si="2"/>
        <v>2200000</v>
      </c>
      <c r="H6" s="22">
        <f t="shared" si="3"/>
        <v>220000</v>
      </c>
      <c r="I6" s="22">
        <f t="shared" si="4"/>
        <v>1980000</v>
      </c>
      <c r="J6" s="30"/>
      <c r="K6" s="24" t="s">
        <v>202</v>
      </c>
      <c r="L6" s="22" t="s">
        <v>192</v>
      </c>
      <c r="M6" s="22">
        <v>40000</v>
      </c>
      <c r="N6" s="22">
        <v>70000</v>
      </c>
      <c r="O6" s="22">
        <v>90000</v>
      </c>
    </row>
    <row r="7" spans="1:15" x14ac:dyDescent="0.25">
      <c r="A7" s="24">
        <v>4</v>
      </c>
      <c r="B7" s="22" t="s">
        <v>190</v>
      </c>
      <c r="C7" s="22">
        <v>60</v>
      </c>
      <c r="D7" s="22" t="s">
        <v>191</v>
      </c>
      <c r="E7" s="22" t="str">
        <f t="shared" si="0"/>
        <v>MERCEDES</v>
      </c>
      <c r="F7" s="22" t="str">
        <f t="shared" si="1"/>
        <v>VŨNG TÀU</v>
      </c>
      <c r="G7" s="22">
        <f t="shared" si="2"/>
        <v>3600000</v>
      </c>
      <c r="H7" s="22">
        <f t="shared" si="3"/>
        <v>0</v>
      </c>
      <c r="I7" s="22">
        <f t="shared" si="4"/>
        <v>3600000</v>
      </c>
      <c r="J7" s="30"/>
    </row>
    <row r="8" spans="1:15" x14ac:dyDescent="0.25">
      <c r="A8" s="24">
        <v>5</v>
      </c>
      <c r="B8" s="22" t="s">
        <v>184</v>
      </c>
      <c r="C8" s="22">
        <v>10</v>
      </c>
      <c r="D8" s="22" t="s">
        <v>185</v>
      </c>
      <c r="E8" s="22" t="str">
        <f t="shared" si="0"/>
        <v>MERCEDES</v>
      </c>
      <c r="F8" s="22" t="str">
        <f t="shared" si="1"/>
        <v>NHA TRANG</v>
      </c>
      <c r="G8" s="22">
        <f t="shared" si="2"/>
        <v>900000</v>
      </c>
      <c r="H8" s="22">
        <f t="shared" si="3"/>
        <v>90000</v>
      </c>
      <c r="I8" s="22">
        <f t="shared" si="4"/>
        <v>810000</v>
      </c>
      <c r="K8" s="31" t="s">
        <v>203</v>
      </c>
      <c r="L8" s="22" t="s">
        <v>116</v>
      </c>
      <c r="M8" s="22" t="s">
        <v>117</v>
      </c>
      <c r="N8" s="22" t="s">
        <v>118</v>
      </c>
    </row>
    <row r="9" spans="1:15" x14ac:dyDescent="0.25">
      <c r="A9" s="24">
        <v>6</v>
      </c>
      <c r="B9" s="22" t="s">
        <v>195</v>
      </c>
      <c r="C9" s="22">
        <v>10</v>
      </c>
      <c r="D9" s="22" t="s">
        <v>196</v>
      </c>
      <c r="E9" s="22" t="str">
        <f t="shared" si="0"/>
        <v>TOYOTA</v>
      </c>
      <c r="F9" s="22" t="str">
        <f t="shared" si="1"/>
        <v>VŨNG TÀU</v>
      </c>
      <c r="G9" s="22">
        <f t="shared" si="2"/>
        <v>500000</v>
      </c>
      <c r="H9" s="22">
        <f t="shared" si="3"/>
        <v>50000</v>
      </c>
      <c r="I9" s="22">
        <f t="shared" si="4"/>
        <v>450000</v>
      </c>
      <c r="K9" s="31" t="s">
        <v>113</v>
      </c>
      <c r="L9" s="22" t="s">
        <v>122</v>
      </c>
      <c r="M9" s="22" t="s">
        <v>125</v>
      </c>
      <c r="N9" s="22" t="s">
        <v>128</v>
      </c>
    </row>
    <row r="10" spans="1:15" x14ac:dyDescent="0.25">
      <c r="A10" s="24">
        <v>7</v>
      </c>
      <c r="B10" s="22" t="s">
        <v>197</v>
      </c>
      <c r="C10" s="22">
        <v>40</v>
      </c>
      <c r="D10" s="22" t="s">
        <v>198</v>
      </c>
      <c r="E10" s="22" t="str">
        <f t="shared" si="0"/>
        <v>TOYOTA</v>
      </c>
      <c r="F10" s="22" t="str">
        <f t="shared" si="1"/>
        <v>NHA TRANG</v>
      </c>
      <c r="G10" s="22">
        <f t="shared" si="2"/>
        <v>3200000</v>
      </c>
      <c r="H10" s="22">
        <f t="shared" si="3"/>
        <v>0</v>
      </c>
      <c r="I10" s="22">
        <f t="shared" si="4"/>
        <v>3200000</v>
      </c>
    </row>
    <row r="11" spans="1:15" x14ac:dyDescent="0.25">
      <c r="A11" s="24">
        <v>8</v>
      </c>
      <c r="B11" s="22" t="s">
        <v>193</v>
      </c>
      <c r="C11" s="22">
        <v>30</v>
      </c>
      <c r="D11" s="22" t="s">
        <v>194</v>
      </c>
      <c r="E11" s="22" t="str">
        <f t="shared" si="0"/>
        <v>TOYOTA</v>
      </c>
      <c r="F11" s="22" t="str">
        <f t="shared" si="1"/>
        <v>ĐÀ LẠT</v>
      </c>
      <c r="G11" s="22">
        <f t="shared" si="2"/>
        <v>3000000</v>
      </c>
      <c r="H11" s="22">
        <f t="shared" si="3"/>
        <v>0</v>
      </c>
      <c r="I11" s="22">
        <f t="shared" si="4"/>
        <v>3000000</v>
      </c>
      <c r="K11" s="32" t="s">
        <v>203</v>
      </c>
      <c r="L11" s="32" t="s">
        <v>116</v>
      </c>
      <c r="M11" s="32" t="s">
        <v>117</v>
      </c>
      <c r="N11" s="32" t="s">
        <v>118</v>
      </c>
    </row>
    <row r="12" spans="1:15" x14ac:dyDescent="0.25">
      <c r="K12" s="32" t="s">
        <v>204</v>
      </c>
      <c r="L12" s="32">
        <f>SUMIF($F$4:$F$11,"VŨNG TÀU",$I$4:$I$11)</f>
        <v>6050000</v>
      </c>
      <c r="M12" s="32">
        <f>SUMIF($F$4:$F$11,"ĐÀ LẠT",$I$4:$I$11)</f>
        <v>4980000</v>
      </c>
      <c r="N12" s="32">
        <f>SUMIF($F$4:$F$11,"NHA TRANG",$I$4:$I$11)</f>
        <v>7160000</v>
      </c>
    </row>
    <row r="14" spans="1:15" x14ac:dyDescent="0.25">
      <c r="K14" s="32"/>
      <c r="L14" s="32" t="s">
        <v>122</v>
      </c>
      <c r="M14" s="32" t="s">
        <v>125</v>
      </c>
      <c r="N14" s="32" t="s">
        <v>128</v>
      </c>
    </row>
    <row r="15" spans="1:15" x14ac:dyDescent="0.25">
      <c r="K15" s="32" t="s">
        <v>186</v>
      </c>
      <c r="L15" s="32">
        <f>SUMIFS($I$4:$I$11,$E$4:$E$11,"TOYOTA",$F$4:$F$11,"VŨNG TÀU")</f>
        <v>450000</v>
      </c>
      <c r="M15" s="32">
        <f>SUMIFS($I$4:$I$11,$E$4:$E$11,"TOYOTA",$F$4:$F$11,"NHA TRANG")</f>
        <v>3200000</v>
      </c>
      <c r="N15" s="32">
        <f>SUMIFS($I$4:$I$11,$E$4:$E$11,"TOYOTA",$F$4:$F$11,"ĐÀ LẠT")</f>
        <v>3000000</v>
      </c>
    </row>
    <row r="16" spans="1:15" x14ac:dyDescent="0.25">
      <c r="K16" s="32" t="s">
        <v>192</v>
      </c>
      <c r="L16" s="32">
        <f>SUMIFS($I$4:$I$11,$E$4:$E$11,"HUYNDAI",$F$4:$F$11,"VŨNG TÀU")</f>
        <v>2000000</v>
      </c>
      <c r="M16" s="32">
        <f>SUMIFS($I$4:$I$11,$E$4:$E$11,"HUYNDAI",$F$4:$F$11,"NHA TRANG")</f>
        <v>3150000</v>
      </c>
      <c r="N16" s="32">
        <f>SUMIFS($I$4:$I$11,$E$4:$E$11,"HUYNDAI",$F$4:$F$11,"ĐÀ LẠT")</f>
        <v>0</v>
      </c>
    </row>
    <row r="17" spans="11:14" x14ac:dyDescent="0.25">
      <c r="K17" s="32" t="s">
        <v>189</v>
      </c>
      <c r="L17" s="32">
        <f>SUMIFS($I$4:$I$11,$E$4:$E$11,"MERCEDES",$F$4:$F$11,"VŨNG TÀU")</f>
        <v>3600000</v>
      </c>
      <c r="M17" s="32">
        <f>SUMIFS($I$4:$I$11,$E$4:$E$11,"MERCEDES",$F$4:$F$11,"NHA TRANG")</f>
        <v>810000</v>
      </c>
      <c r="N17" s="32">
        <f>SUMIFS($I$4:$I$11,$E$4:$E$11,"MERCEDES",$F$4:$F$11,"ĐÀ LẠT")</f>
        <v>1980000</v>
      </c>
    </row>
  </sheetData>
  <autoFilter ref="B4:I11" xr:uid="{96C8427F-9890-466D-9AF4-D4E49729DE8F}">
    <sortState xmlns:xlrd2="http://schemas.microsoft.com/office/spreadsheetml/2017/richdata2" ref="B5:I11">
      <sortCondition ref="E5:E11"/>
    </sortState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Bai8</vt:lpstr>
      <vt:lpstr>Bai9</vt:lpstr>
      <vt:lpstr>Bai10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OU.PM</dc:creator>
  <cp:keywords/>
  <dc:description/>
  <cp:lastModifiedBy>SealCia</cp:lastModifiedBy>
  <cp:revision/>
  <dcterms:created xsi:type="dcterms:W3CDTF">2023-12-19T06:04:27Z</dcterms:created>
  <dcterms:modified xsi:type="dcterms:W3CDTF">2024-01-09T03:05:49Z</dcterms:modified>
  <cp:category/>
  <cp:contentStatus/>
</cp:coreProperties>
</file>