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ucHanhExcel\"/>
    </mc:Choice>
  </mc:AlternateContent>
  <xr:revisionPtr revIDLastSave="0" documentId="13_ncr:1_{50429B91-E0C5-4AEF-9670-80C2DF39899E}" xr6:coauthVersionLast="47" xr6:coauthVersionMax="47" xr10:uidLastSave="{00000000-0000-0000-0000-000000000000}"/>
  <bookViews>
    <workbookView xWindow="-120" yWindow="330" windowWidth="29040" windowHeight="15390" firstSheet="1" activeTab="6" xr2:uid="{8E08941F-1D49-4636-B2AE-37A49C149D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J4" i="5" s="1"/>
  <c r="M9" i="5" s="1"/>
  <c r="J6" i="5"/>
  <c r="C3" i="7"/>
  <c r="C4" i="7"/>
  <c r="C5" i="7"/>
  <c r="C6" i="7"/>
  <c r="C7" i="7"/>
  <c r="C8" i="7"/>
  <c r="C9" i="7"/>
  <c r="C2" i="7"/>
  <c r="S4" i="6"/>
  <c r="R4" i="6"/>
  <c r="Q4" i="6"/>
  <c r="O9" i="5"/>
  <c r="N9" i="5"/>
  <c r="J5" i="5"/>
  <c r="J7" i="5"/>
  <c r="J8" i="5"/>
  <c r="J9" i="5"/>
  <c r="J3" i="5"/>
  <c r="I4" i="5"/>
  <c r="I5" i="5"/>
  <c r="I6" i="5"/>
  <c r="I7" i="5"/>
  <c r="I8" i="5"/>
  <c r="I9" i="5"/>
  <c r="I3" i="5"/>
  <c r="H5" i="5"/>
  <c r="H6" i="5"/>
  <c r="H7" i="5"/>
  <c r="H8" i="5"/>
  <c r="H9" i="5"/>
  <c r="H3" i="5"/>
  <c r="G4" i="5"/>
  <c r="G5" i="5"/>
  <c r="G6" i="5"/>
  <c r="G7" i="5"/>
  <c r="G8" i="5"/>
  <c r="G9" i="5"/>
  <c r="G3" i="5"/>
  <c r="F4" i="5"/>
  <c r="F5" i="5"/>
  <c r="F6" i="5"/>
  <c r="F7" i="5"/>
  <c r="F8" i="5"/>
  <c r="F9" i="5"/>
  <c r="F3" i="5"/>
  <c r="G7" i="6"/>
  <c r="G3" i="6"/>
  <c r="G4" i="6"/>
  <c r="G11" i="6"/>
  <c r="G12" i="6"/>
  <c r="G8" i="6"/>
  <c r="G13" i="6"/>
  <c r="G5" i="6"/>
  <c r="G9" i="6"/>
  <c r="G6" i="6"/>
  <c r="G14" i="6"/>
  <c r="G10" i="6"/>
  <c r="F7" i="6"/>
  <c r="H7" i="6" s="1"/>
  <c r="F3" i="6"/>
  <c r="H3" i="6" s="1"/>
  <c r="F4" i="6"/>
  <c r="F11" i="6"/>
  <c r="H11" i="6" s="1"/>
  <c r="F12" i="6"/>
  <c r="H12" i="6" s="1"/>
  <c r="F8" i="6"/>
  <c r="H8" i="6" s="1"/>
  <c r="F13" i="6"/>
  <c r="H13" i="6" s="1"/>
  <c r="F5" i="6"/>
  <c r="H5" i="6" s="1"/>
  <c r="F9" i="6"/>
  <c r="F6" i="6"/>
  <c r="H6" i="6" s="1"/>
  <c r="F14" i="6"/>
  <c r="F10" i="6"/>
  <c r="H10" i="6" s="1"/>
  <c r="E10" i="6"/>
  <c r="E7" i="6"/>
  <c r="E3" i="6"/>
  <c r="E4" i="6"/>
  <c r="E11" i="6"/>
  <c r="E12" i="6"/>
  <c r="E8" i="6"/>
  <c r="E13" i="6"/>
  <c r="E5" i="6"/>
  <c r="E9" i="6"/>
  <c r="E6" i="6"/>
  <c r="E14" i="6"/>
  <c r="F16" i="4"/>
  <c r="F15" i="4"/>
  <c r="F1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G5" i="3"/>
  <c r="H5" i="3" s="1"/>
  <c r="G6" i="3"/>
  <c r="G7" i="3"/>
  <c r="H7" i="3" s="1"/>
  <c r="G8" i="3"/>
  <c r="G9" i="3"/>
  <c r="G10" i="3"/>
  <c r="H10" i="3" s="1"/>
  <c r="G4" i="3"/>
  <c r="H4" i="3" s="1"/>
  <c r="H6" i="3"/>
  <c r="H8" i="3"/>
  <c r="H9" i="3"/>
  <c r="E11" i="3"/>
  <c r="F11" i="3"/>
  <c r="F5" i="3"/>
  <c r="F6" i="3"/>
  <c r="F7" i="3"/>
  <c r="F8" i="3"/>
  <c r="F9" i="3"/>
  <c r="F10" i="3"/>
  <c r="F4" i="3"/>
  <c r="H12" i="2"/>
  <c r="G12" i="2"/>
  <c r="H6" i="2"/>
  <c r="H7" i="2"/>
  <c r="H8" i="2"/>
  <c r="H9" i="2"/>
  <c r="H10" i="2"/>
  <c r="H11" i="2"/>
  <c r="H5" i="2"/>
  <c r="G6" i="2"/>
  <c r="G7" i="2"/>
  <c r="G8" i="2"/>
  <c r="G9" i="2"/>
  <c r="G10" i="2"/>
  <c r="G11" i="2"/>
  <c r="G5" i="2"/>
  <c r="F4" i="1"/>
  <c r="G4" i="1" s="1"/>
  <c r="F5" i="1"/>
  <c r="G5" i="1" s="1"/>
  <c r="F6" i="1"/>
  <c r="G6" i="1" s="1"/>
  <c r="F7" i="1"/>
  <c r="G7" i="1" s="1"/>
  <c r="F3" i="1"/>
  <c r="H9" i="6" l="1"/>
  <c r="H14" i="6"/>
  <c r="H4" i="6"/>
  <c r="H11" i="3"/>
  <c r="G11" i="3"/>
  <c r="F8" i="1"/>
  <c r="G3" i="1"/>
  <c r="G8" i="1" s="1"/>
</calcChain>
</file>

<file path=xl/sharedStrings.xml><?xml version="1.0" encoding="utf-8"?>
<sst xmlns="http://schemas.openxmlformats.org/spreadsheetml/2006/main" count="221" uniqueCount="167">
  <si>
    <t>STT</t>
  </si>
  <si>
    <t>Tên vật tư</t>
  </si>
  <si>
    <t>Đơn vị</t>
  </si>
  <si>
    <t>Số lượng</t>
  </si>
  <si>
    <t>Đơn giá</t>
  </si>
  <si>
    <t>Thành tiền</t>
  </si>
  <si>
    <t>Cát</t>
  </si>
  <si>
    <t>Gạch ống</t>
  </si>
  <si>
    <t>Sắt</t>
  </si>
  <si>
    <t>Xi măng</t>
  </si>
  <si>
    <t>Khối</t>
  </si>
  <si>
    <t>Viên</t>
  </si>
  <si>
    <t>Kg</t>
  </si>
  <si>
    <t>Bao</t>
  </si>
  <si>
    <t>Tổng cộng</t>
  </si>
  <si>
    <t>Đá</t>
  </si>
  <si>
    <t>Chuyên chở</t>
  </si>
  <si>
    <t>CỬA HÀNG VẬT TƯ</t>
  </si>
  <si>
    <t>Họ và tên</t>
  </si>
  <si>
    <t>Chức vụ</t>
  </si>
  <si>
    <t>LCB</t>
  </si>
  <si>
    <t>PCTN</t>
  </si>
  <si>
    <t>Thưởng</t>
  </si>
  <si>
    <t>Thực lãnh</t>
  </si>
  <si>
    <t>MPC</t>
  </si>
  <si>
    <t>MLCB</t>
  </si>
  <si>
    <t>Nguyễn Vũ Lân</t>
  </si>
  <si>
    <t>Huỳnh Thúy Anh</t>
  </si>
  <si>
    <t>Ngô Thanh Vân</t>
  </si>
  <si>
    <t>Nguyễn Thị hà</t>
  </si>
  <si>
    <t>Hồ Minh Tâm</t>
  </si>
  <si>
    <t>Trần Hiếu Trung</t>
  </si>
  <si>
    <t>Lê Thùy Vân</t>
  </si>
  <si>
    <t>HT</t>
  </si>
  <si>
    <t>HP</t>
  </si>
  <si>
    <t>TP</t>
  </si>
  <si>
    <t>PP</t>
  </si>
  <si>
    <t>NV</t>
  </si>
  <si>
    <t>GV</t>
  </si>
  <si>
    <t>PCCV</t>
  </si>
  <si>
    <t>BẢNG THANH TOÁN LƯƠNG THÁNH</t>
  </si>
  <si>
    <t>NLV</t>
  </si>
  <si>
    <t>Lương</t>
  </si>
  <si>
    <t>Lê Xuân Anh</t>
  </si>
  <si>
    <t>Trần Thế Mỹ</t>
  </si>
  <si>
    <t>Lê Văn Hòa</t>
  </si>
  <si>
    <t>Võ Thế Hùng</t>
  </si>
  <si>
    <t>Lê Ngọc Hạnh</t>
  </si>
  <si>
    <t>Trần Văn Tính</t>
  </si>
  <si>
    <t>Phạm Thùy Vân</t>
  </si>
  <si>
    <t>GD</t>
  </si>
  <si>
    <t>PG</t>
  </si>
  <si>
    <t>TỔNG:</t>
  </si>
  <si>
    <t>TỔNG QUỸ LƯƠNG</t>
  </si>
  <si>
    <t>BẢNG THANH TOÁN LƯƠNG THÁNG</t>
  </si>
  <si>
    <t>TT</t>
  </si>
  <si>
    <t>Họ tên</t>
  </si>
  <si>
    <t>Điểm</t>
  </si>
  <si>
    <t>Nguyễn Hữu An</t>
  </si>
  <si>
    <t>Phạm Vũ Bảo</t>
  </si>
  <si>
    <t>Lê Minh Chương</t>
  </si>
  <si>
    <t>Võ Phong Phú</t>
  </si>
  <si>
    <t>Nguyễn Hải Minh</t>
  </si>
  <si>
    <t>Nguyễn Quý Sơn</t>
  </si>
  <si>
    <t>Mai Công Tâm</t>
  </si>
  <si>
    <t>Nguyễn Thanh Tùng</t>
  </si>
  <si>
    <t>Huỳnh Trung Tuấn</t>
  </si>
  <si>
    <t>Thực
hành</t>
  </si>
  <si>
    <t>Lý
thuyết</t>
  </si>
  <si>
    <t>Kết
quả</t>
  </si>
  <si>
    <t>Xếp
loại</t>
  </si>
  <si>
    <t>Xếp
hạng</t>
  </si>
  <si>
    <t>BẢNG ĐIỂM THI CUỐI KHÓA</t>
  </si>
  <si>
    <t>Môn thi: Lập trình Căn bản</t>
  </si>
  <si>
    <t>Điểm trung bình</t>
  </si>
  <si>
    <t>Điểm lớn nhất</t>
  </si>
  <si>
    <t>Điểm bé nhất</t>
  </si>
  <si>
    <t>Số TT</t>
  </si>
  <si>
    <t>Tên
khách</t>
  </si>
  <si>
    <t>Loại
phòng</t>
  </si>
  <si>
    <t>Ngày đến</t>
  </si>
  <si>
    <t>Ngày đi</t>
  </si>
  <si>
    <t>Số tuần</t>
  </si>
  <si>
    <t>Số ngày lẻ</t>
  </si>
  <si>
    <t>Tính tiền
theo tuần</t>
  </si>
  <si>
    <t>Tính tiền
theo ngày</t>
  </si>
  <si>
    <t>Thành</t>
  </si>
  <si>
    <t>Tân</t>
  </si>
  <si>
    <t>Thảo</t>
  </si>
  <si>
    <t>Hải</t>
  </si>
  <si>
    <t>Trí</t>
  </si>
  <si>
    <t>Hùng</t>
  </si>
  <si>
    <t>Dung</t>
  </si>
  <si>
    <t>B</t>
  </si>
  <si>
    <t>A</t>
  </si>
  <si>
    <t>C</t>
  </si>
  <si>
    <t>HỌ LÓT</t>
  </si>
  <si>
    <t>TÊN</t>
  </si>
  <si>
    <t>MÃ DL</t>
  </si>
  <si>
    <t>TÊN ĐỊA PHƯƠNG</t>
  </si>
  <si>
    <t>GIÁ VÉ</t>
  </si>
  <si>
    <t>CHI PHÍ</t>
  </si>
  <si>
    <t>TỔNG CỘNG</t>
  </si>
  <si>
    <t>TÊN ĐỊA
PHƯƠNG</t>
  </si>
  <si>
    <t>Nguyễn Hữu</t>
  </si>
  <si>
    <t>Phạm Vũ</t>
  </si>
  <si>
    <t>Lê Minh</t>
  </si>
  <si>
    <t>Võ Phong</t>
  </si>
  <si>
    <t>Nguyễn Hải</t>
  </si>
  <si>
    <t>Nguyễn Quý</t>
  </si>
  <si>
    <t>Mai Công</t>
  </si>
  <si>
    <t>Nguyễn Thanh</t>
  </si>
  <si>
    <t>Huỳnh Trung</t>
  </si>
  <si>
    <t>Lê Thùy</t>
  </si>
  <si>
    <t>Trần Trung</t>
  </si>
  <si>
    <t>An</t>
  </si>
  <si>
    <t>Bảo</t>
  </si>
  <si>
    <t>Chương</t>
  </si>
  <si>
    <t>Phú</t>
  </si>
  <si>
    <t>Minh</t>
  </si>
  <si>
    <t>Sơn</t>
  </si>
  <si>
    <t>Tâm</t>
  </si>
  <si>
    <t>Tùng</t>
  </si>
  <si>
    <t>Tuấn</t>
  </si>
  <si>
    <t>Vân</t>
  </si>
  <si>
    <t>Hạnh</t>
  </si>
  <si>
    <t>Hiếu</t>
  </si>
  <si>
    <t>VTA</t>
  </si>
  <si>
    <t>NTB</t>
  </si>
  <si>
    <t>ĐLB</t>
  </si>
  <si>
    <t>ĐLA</t>
  </si>
  <si>
    <t>VTB</t>
  </si>
  <si>
    <t>NTA</t>
  </si>
  <si>
    <t>MÃ ĐP</t>
  </si>
  <si>
    <t>CHI PHÍ A</t>
  </si>
  <si>
    <t>CHI PHÍ B</t>
  </si>
  <si>
    <t>VT</t>
  </si>
  <si>
    <t>NT</t>
  </si>
  <si>
    <t>ĐL</t>
  </si>
  <si>
    <t>VŨNG TÀU</t>
  </si>
  <si>
    <t>NHA TRANG</t>
  </si>
  <si>
    <t>ĐÀ LẠT</t>
  </si>
  <si>
    <t>Doanh thu</t>
  </si>
  <si>
    <t>TÌNH HÌNH KINH DOANH THÁNG 07/2010</t>
  </si>
  <si>
    <t>Bảng giá</t>
  </si>
  <si>
    <t>Đơn giá
ngày lẻ</t>
  </si>
  <si>
    <t>Đơn giá
tuần</t>
  </si>
  <si>
    <t>Loại phòng</t>
  </si>
  <si>
    <t>MÃ HÀNG</t>
  </si>
  <si>
    <t>TÊN
HÀNG</t>
  </si>
  <si>
    <t>NGÀY
BÁN</t>
  </si>
  <si>
    <t>SỐ
LƯỢNG</t>
  </si>
  <si>
    <t>TRỊ GIÁ</t>
  </si>
  <si>
    <t>THUẾ</t>
  </si>
  <si>
    <t>HUÊ HỒNG</t>
  </si>
  <si>
    <t>THU</t>
  </si>
  <si>
    <t>TV</t>
  </si>
  <si>
    <t>TL</t>
  </si>
  <si>
    <t>MG</t>
  </si>
  <si>
    <t>Bảng 1</t>
  </si>
  <si>
    <t>THỜI ĐIỂM</t>
  </si>
  <si>
    <t>Bảng 2</t>
  </si>
  <si>
    <t>TÊN HÀNG</t>
  </si>
  <si>
    <t>TỶ LỆ THUẾ</t>
  </si>
  <si>
    <t>TIVI</t>
  </si>
  <si>
    <t>TỦ LẠNH</t>
  </si>
  <si>
    <t>MÁY GIẶT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</si>
</sst>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d/mm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6" xfId="0" applyBorder="1" applyAlignment="1">
      <alignment horizontal="center"/>
    </xf>
    <xf numFmtId="2" fontId="0" fillId="0" borderId="7" xfId="0" applyNumberFormat="1" applyFill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0" fontId="1" fillId="0" borderId="8" xfId="0" applyFont="1" applyBorder="1" applyAlignment="1">
      <alignment horizontal="center"/>
    </xf>
    <xf numFmtId="1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8665-D04E-4891-83AF-96E68B908BD9}">
  <dimension ref="A1:G8"/>
  <sheetViews>
    <sheetView zoomScale="145" zoomScaleNormal="145" workbookViewId="0">
      <selection activeCell="F8" sqref="F8:G8"/>
    </sheetView>
  </sheetViews>
  <sheetFormatPr defaultRowHeight="15" x14ac:dyDescent="0.25"/>
  <cols>
    <col min="1" max="1" width="4" bestFit="1" customWidth="1"/>
    <col min="2" max="2" width="10" bestFit="1" customWidth="1"/>
    <col min="3" max="3" width="7" bestFit="1" customWidth="1"/>
    <col min="4" max="4" width="9.140625" bestFit="1" customWidth="1"/>
    <col min="5" max="5" width="8" bestFit="1" customWidth="1"/>
    <col min="6" max="6" width="11.5703125" bestFit="1" customWidth="1"/>
    <col min="7" max="7" width="10.42578125" bestFit="1" customWidth="1"/>
  </cols>
  <sheetData>
    <row r="1" spans="1:7" x14ac:dyDescent="0.25">
      <c r="A1" s="1" t="s">
        <v>17</v>
      </c>
      <c r="B1" s="1"/>
      <c r="C1" s="1"/>
      <c r="D1" s="1"/>
      <c r="E1" s="1"/>
      <c r="F1" s="1"/>
      <c r="G1" s="1"/>
    </row>
    <row r="2" spans="1:7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16</v>
      </c>
      <c r="G2" s="5" t="s">
        <v>5</v>
      </c>
    </row>
    <row r="3" spans="1:7" x14ac:dyDescent="0.25">
      <c r="A3" s="2">
        <v>1</v>
      </c>
      <c r="B3" s="2" t="s">
        <v>6</v>
      </c>
      <c r="C3" s="2" t="s">
        <v>10</v>
      </c>
      <c r="D3" s="2">
        <v>50</v>
      </c>
      <c r="E3" s="2">
        <v>60000</v>
      </c>
      <c r="F3" s="2">
        <f>E3*D3*0.5%</f>
        <v>15000</v>
      </c>
      <c r="G3" s="2">
        <f>D3*E3+F3</f>
        <v>3015000</v>
      </c>
    </row>
    <row r="4" spans="1:7" x14ac:dyDescent="0.25">
      <c r="A4" s="2">
        <v>2</v>
      </c>
      <c r="B4" s="2" t="s">
        <v>15</v>
      </c>
      <c r="C4" s="2" t="s">
        <v>10</v>
      </c>
      <c r="D4" s="2">
        <v>40</v>
      </c>
      <c r="E4" s="2">
        <v>100000</v>
      </c>
      <c r="F4" s="2">
        <f>E4*D4*0.5%</f>
        <v>20000</v>
      </c>
      <c r="G4" s="2">
        <f>D4*E4+F4</f>
        <v>4020000</v>
      </c>
    </row>
    <row r="5" spans="1:7" x14ac:dyDescent="0.25">
      <c r="A5" s="2">
        <v>3</v>
      </c>
      <c r="B5" s="2" t="s">
        <v>7</v>
      </c>
      <c r="C5" s="2" t="s">
        <v>11</v>
      </c>
      <c r="D5" s="2">
        <v>4000</v>
      </c>
      <c r="E5" s="2">
        <v>350</v>
      </c>
      <c r="F5" s="2">
        <f>E5*D5*0.5%</f>
        <v>7000</v>
      </c>
      <c r="G5" s="2">
        <f>D5*E5+F5</f>
        <v>1407000</v>
      </c>
    </row>
    <row r="6" spans="1:7" x14ac:dyDescent="0.25">
      <c r="A6" s="2">
        <v>4</v>
      </c>
      <c r="B6" s="2" t="s">
        <v>8</v>
      </c>
      <c r="C6" s="2" t="s">
        <v>12</v>
      </c>
      <c r="D6" s="2">
        <v>150</v>
      </c>
      <c r="E6" s="2">
        <v>3600</v>
      </c>
      <c r="F6" s="2">
        <f>E6*D6*0.5%</f>
        <v>2700</v>
      </c>
      <c r="G6" s="2">
        <f>D6*E6+F6</f>
        <v>542700</v>
      </c>
    </row>
    <row r="7" spans="1:7" x14ac:dyDescent="0.25">
      <c r="A7" s="2">
        <v>5</v>
      </c>
      <c r="B7" s="2" t="s">
        <v>9</v>
      </c>
      <c r="C7" s="2" t="s">
        <v>13</v>
      </c>
      <c r="D7" s="2">
        <v>200</v>
      </c>
      <c r="E7" s="2">
        <v>45000</v>
      </c>
      <c r="F7" s="2">
        <f>E7*D7*0.5%</f>
        <v>45000</v>
      </c>
      <c r="G7" s="2">
        <f>D7*E7+F7</f>
        <v>9045000</v>
      </c>
    </row>
    <row r="8" spans="1:7" x14ac:dyDescent="0.25">
      <c r="A8" s="2"/>
      <c r="B8" s="6" t="s">
        <v>14</v>
      </c>
      <c r="C8" s="7"/>
      <c r="D8" s="7"/>
      <c r="E8" s="8"/>
      <c r="F8" s="15">
        <f>SUM(F3:F7)</f>
        <v>89700</v>
      </c>
      <c r="G8" s="15">
        <f>SUM(G3:G7)</f>
        <v>18029700</v>
      </c>
    </row>
  </sheetData>
  <mergeCells count="2">
    <mergeCell ref="A1:G1"/>
    <mergeCell ref="B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9652-8683-4D39-8047-46E39CFC07EC}">
  <dimension ref="A1:H12"/>
  <sheetViews>
    <sheetView zoomScale="175" zoomScaleNormal="175" workbookViewId="0">
      <selection activeCell="G12" sqref="G12"/>
    </sheetView>
  </sheetViews>
  <sheetFormatPr defaultRowHeight="15" x14ac:dyDescent="0.25"/>
  <cols>
    <col min="1" max="1" width="4" bestFit="1" customWidth="1"/>
    <col min="2" max="2" width="15.5703125" bestFit="1" customWidth="1"/>
    <col min="3" max="3" width="8.140625" bestFit="1" customWidth="1"/>
    <col min="4" max="4" width="5.140625" bestFit="1" customWidth="1"/>
    <col min="5" max="5" width="5.7109375" bestFit="1" customWidth="1"/>
    <col min="6" max="7" width="8.42578125" bestFit="1" customWidth="1"/>
    <col min="8" max="8" width="9.7109375" bestFit="1" customWidth="1"/>
  </cols>
  <sheetData>
    <row r="1" spans="1:8" x14ac:dyDescent="0.25">
      <c r="A1" s="14" t="s">
        <v>40</v>
      </c>
      <c r="B1" s="1"/>
      <c r="C1" s="1"/>
      <c r="D1" s="1"/>
      <c r="E1" s="1"/>
      <c r="F1" s="1"/>
      <c r="G1" s="1"/>
      <c r="H1" s="1"/>
    </row>
    <row r="2" spans="1:8" x14ac:dyDescent="0.25">
      <c r="G2" t="s">
        <v>24</v>
      </c>
      <c r="H2" s="2">
        <v>400000</v>
      </c>
    </row>
    <row r="3" spans="1:8" x14ac:dyDescent="0.25">
      <c r="G3" t="s">
        <v>25</v>
      </c>
      <c r="H3" s="3">
        <v>830000</v>
      </c>
    </row>
    <row r="4" spans="1:8" x14ac:dyDescent="0.25">
      <c r="A4" s="11" t="s">
        <v>0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39</v>
      </c>
      <c r="G4" s="5" t="s">
        <v>22</v>
      </c>
      <c r="H4" s="5" t="s">
        <v>23</v>
      </c>
    </row>
    <row r="5" spans="1:8" x14ac:dyDescent="0.25">
      <c r="A5" s="2">
        <v>1</v>
      </c>
      <c r="B5" s="2" t="s">
        <v>26</v>
      </c>
      <c r="C5" s="12" t="s">
        <v>33</v>
      </c>
      <c r="D5" s="2">
        <v>5.47</v>
      </c>
      <c r="E5" s="2">
        <v>8</v>
      </c>
      <c r="F5" s="2">
        <v>2000000</v>
      </c>
      <c r="G5" s="2">
        <f>$H$2*E5*50%</f>
        <v>1600000</v>
      </c>
      <c r="H5" s="2">
        <f>($H$3*D5)+F5+G5+$H$2</f>
        <v>8540100</v>
      </c>
    </row>
    <row r="6" spans="1:8" x14ac:dyDescent="0.25">
      <c r="A6" s="2">
        <v>2</v>
      </c>
      <c r="B6" s="2" t="s">
        <v>27</v>
      </c>
      <c r="C6" s="12" t="s">
        <v>34</v>
      </c>
      <c r="D6" s="2">
        <v>5.22</v>
      </c>
      <c r="E6" s="2">
        <v>6</v>
      </c>
      <c r="F6" s="2">
        <v>1800000</v>
      </c>
      <c r="G6" s="2">
        <f>$H$2*E6*50%</f>
        <v>1200000</v>
      </c>
      <c r="H6" s="2">
        <f t="shared" ref="H6:H11" si="0">($H$3*D6)+F6+G6+$H$2</f>
        <v>7732600</v>
      </c>
    </row>
    <row r="7" spans="1:8" x14ac:dyDescent="0.25">
      <c r="A7" s="2">
        <v>3</v>
      </c>
      <c r="B7" s="2" t="s">
        <v>28</v>
      </c>
      <c r="C7" s="12" t="s">
        <v>35</v>
      </c>
      <c r="D7" s="2">
        <v>3.3</v>
      </c>
      <c r="E7" s="2">
        <v>4</v>
      </c>
      <c r="F7" s="2">
        <v>1500000</v>
      </c>
      <c r="G7" s="2">
        <f>$H$2*E7*50%</f>
        <v>800000</v>
      </c>
      <c r="H7" s="2">
        <f t="shared" si="0"/>
        <v>5439000</v>
      </c>
    </row>
    <row r="8" spans="1:8" x14ac:dyDescent="0.25">
      <c r="A8" s="2">
        <v>4</v>
      </c>
      <c r="B8" s="2" t="s">
        <v>29</v>
      </c>
      <c r="C8" s="12" t="s">
        <v>36</v>
      </c>
      <c r="D8" s="2">
        <v>4.62</v>
      </c>
      <c r="E8" s="2">
        <v>3</v>
      </c>
      <c r="F8" s="2">
        <v>1200000</v>
      </c>
      <c r="G8" s="2">
        <f>$H$2*E8*50%</f>
        <v>600000</v>
      </c>
      <c r="H8" s="2">
        <f t="shared" si="0"/>
        <v>6034600</v>
      </c>
    </row>
    <row r="9" spans="1:8" x14ac:dyDescent="0.25">
      <c r="A9" s="2">
        <v>5</v>
      </c>
      <c r="B9" s="2" t="s">
        <v>30</v>
      </c>
      <c r="C9" s="12" t="s">
        <v>37</v>
      </c>
      <c r="D9" s="2">
        <v>3.88</v>
      </c>
      <c r="E9" s="2">
        <v>2</v>
      </c>
      <c r="F9" s="2">
        <v>1000000</v>
      </c>
      <c r="G9" s="2">
        <f>$H$2*E9*50%</f>
        <v>400000</v>
      </c>
      <c r="H9" s="2">
        <f t="shared" si="0"/>
        <v>5020400</v>
      </c>
    </row>
    <row r="10" spans="1:8" x14ac:dyDescent="0.25">
      <c r="A10" s="2">
        <v>6</v>
      </c>
      <c r="B10" s="2" t="s">
        <v>31</v>
      </c>
      <c r="C10" s="12" t="s">
        <v>38</v>
      </c>
      <c r="D10" s="2">
        <v>4.9800000000000004</v>
      </c>
      <c r="E10" s="2">
        <v>1</v>
      </c>
      <c r="F10" s="2">
        <v>1000000</v>
      </c>
      <c r="G10" s="2">
        <f>$H$2*E10*50%</f>
        <v>200000</v>
      </c>
      <c r="H10" s="2">
        <f t="shared" si="0"/>
        <v>5733400</v>
      </c>
    </row>
    <row r="11" spans="1:8" x14ac:dyDescent="0.25">
      <c r="A11" s="2">
        <v>7</v>
      </c>
      <c r="B11" s="2" t="s">
        <v>32</v>
      </c>
      <c r="C11" s="12" t="s">
        <v>38</v>
      </c>
      <c r="D11" s="2">
        <v>5.22</v>
      </c>
      <c r="E11" s="2">
        <v>1</v>
      </c>
      <c r="F11" s="2">
        <v>1000000</v>
      </c>
      <c r="G11" s="2">
        <f>$H$2*E11*50%</f>
        <v>200000</v>
      </c>
      <c r="H11" s="2">
        <f t="shared" si="0"/>
        <v>5932600</v>
      </c>
    </row>
    <row r="12" spans="1:8" x14ac:dyDescent="0.25">
      <c r="A12" s="2"/>
      <c r="B12" s="13" t="s">
        <v>14</v>
      </c>
      <c r="C12" s="13"/>
      <c r="D12" s="13"/>
      <c r="E12" s="13"/>
      <c r="F12" s="13"/>
      <c r="G12" s="15">
        <f>SUM(G5:G11)</f>
        <v>5000000</v>
      </c>
      <c r="H12" s="15">
        <f>SUM(H5:H11)</f>
        <v>44432700</v>
      </c>
    </row>
  </sheetData>
  <mergeCells count="2">
    <mergeCell ref="B12:F12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55E-1BE8-4460-AEB6-6FCFC9672762}">
  <dimension ref="A1:H11"/>
  <sheetViews>
    <sheetView topLeftCell="B1" zoomScale="175" zoomScaleNormal="175" workbookViewId="0">
      <selection activeCell="F4" sqref="F4"/>
    </sheetView>
  </sheetViews>
  <sheetFormatPr defaultRowHeight="15" x14ac:dyDescent="0.25"/>
  <cols>
    <col min="1" max="1" width="4" bestFit="1" customWidth="1"/>
    <col min="2" max="2" width="14.7109375" bestFit="1" customWidth="1"/>
    <col min="3" max="3" width="8" bestFit="1" customWidth="1"/>
    <col min="4" max="4" width="7.28515625" bestFit="1" customWidth="1"/>
    <col min="5" max="5" width="4.5703125" bestFit="1" customWidth="1"/>
    <col min="6" max="6" width="9.42578125" bestFit="1" customWidth="1"/>
    <col min="7" max="8" width="12.5703125" bestFit="1" customWidth="1"/>
  </cols>
  <sheetData>
    <row r="1" spans="1:8" x14ac:dyDescent="0.25">
      <c r="B1" s="14" t="s">
        <v>54</v>
      </c>
      <c r="C1" s="14"/>
      <c r="D1" s="14"/>
      <c r="E1" s="14"/>
      <c r="F1" s="14"/>
      <c r="G1" s="14"/>
      <c r="H1" s="14"/>
    </row>
    <row r="2" spans="1:8" x14ac:dyDescent="0.25">
      <c r="B2" s="16" t="s">
        <v>53</v>
      </c>
      <c r="C2" s="16"/>
      <c r="D2" s="16"/>
      <c r="E2" s="16"/>
      <c r="F2" s="16"/>
      <c r="G2" s="16"/>
      <c r="H2">
        <v>25000000</v>
      </c>
    </row>
    <row r="3" spans="1:8" x14ac:dyDescent="0.25">
      <c r="A3" s="2" t="s">
        <v>0</v>
      </c>
      <c r="B3" s="4" t="s">
        <v>18</v>
      </c>
      <c r="C3" s="4" t="s">
        <v>19</v>
      </c>
      <c r="D3" s="4" t="s">
        <v>20</v>
      </c>
      <c r="E3" s="4" t="s">
        <v>41</v>
      </c>
      <c r="F3" s="4" t="s">
        <v>42</v>
      </c>
      <c r="G3" s="4" t="s">
        <v>22</v>
      </c>
      <c r="H3" s="4" t="s">
        <v>23</v>
      </c>
    </row>
    <row r="4" spans="1:8" x14ac:dyDescent="0.25">
      <c r="A4" s="2">
        <v>1</v>
      </c>
      <c r="B4" s="2" t="s">
        <v>43</v>
      </c>
      <c r="C4" s="2" t="s">
        <v>50</v>
      </c>
      <c r="D4" s="2">
        <v>170000</v>
      </c>
      <c r="E4" s="2">
        <v>24</v>
      </c>
      <c r="F4" s="2">
        <f>IF(E4&lt;=24,D4*E4,D4*24+D4*(E4-24)*2)</f>
        <v>4080000</v>
      </c>
      <c r="G4" s="17">
        <f>($H$2-$F$11)/$E$11*E4</f>
        <v>546206.89655172417</v>
      </c>
      <c r="H4" s="17">
        <f>F4+G4</f>
        <v>4626206.8965517245</v>
      </c>
    </row>
    <row r="5" spans="1:8" x14ac:dyDescent="0.25">
      <c r="A5" s="2">
        <v>2</v>
      </c>
      <c r="B5" s="2" t="s">
        <v>44</v>
      </c>
      <c r="C5" s="2" t="s">
        <v>51</v>
      </c>
      <c r="D5" s="2">
        <v>150000</v>
      </c>
      <c r="E5" s="2">
        <v>22</v>
      </c>
      <c r="F5" s="2">
        <f t="shared" ref="F5:F10" si="0">IF(E5&lt;=24,D5*E5,D5*24+D5*(E5-24)*2)</f>
        <v>3300000</v>
      </c>
      <c r="G5" s="17">
        <f t="shared" ref="G5:G10" si="1">($H$2-$F$11)/$E$11*E5</f>
        <v>500689.6551724138</v>
      </c>
      <c r="H5" s="17">
        <f t="shared" ref="H5:H10" si="2">F5+G5</f>
        <v>3800689.6551724137</v>
      </c>
    </row>
    <row r="6" spans="1:8" x14ac:dyDescent="0.25">
      <c r="A6" s="2">
        <v>3</v>
      </c>
      <c r="B6" s="2" t="s">
        <v>45</v>
      </c>
      <c r="C6" s="2" t="s">
        <v>35</v>
      </c>
      <c r="D6" s="2">
        <v>130000</v>
      </c>
      <c r="E6" s="2">
        <v>24</v>
      </c>
      <c r="F6" s="2">
        <f t="shared" si="0"/>
        <v>3120000</v>
      </c>
      <c r="G6" s="17">
        <f t="shared" si="1"/>
        <v>546206.89655172417</v>
      </c>
      <c r="H6" s="17">
        <f t="shared" si="2"/>
        <v>3666206.8965517241</v>
      </c>
    </row>
    <row r="7" spans="1:8" x14ac:dyDescent="0.25">
      <c r="A7" s="2">
        <v>4</v>
      </c>
      <c r="B7" s="2" t="s">
        <v>46</v>
      </c>
      <c r="C7" s="2" t="s">
        <v>36</v>
      </c>
      <c r="D7" s="2">
        <v>110000</v>
      </c>
      <c r="E7" s="2">
        <v>25</v>
      </c>
      <c r="F7" s="2">
        <f t="shared" si="0"/>
        <v>2860000</v>
      </c>
      <c r="G7" s="17">
        <f t="shared" si="1"/>
        <v>568965.51724137936</v>
      </c>
      <c r="H7" s="17">
        <f t="shared" si="2"/>
        <v>3428965.5172413792</v>
      </c>
    </row>
    <row r="8" spans="1:8" x14ac:dyDescent="0.25">
      <c r="A8" s="2">
        <v>5</v>
      </c>
      <c r="B8" s="2" t="s">
        <v>47</v>
      </c>
      <c r="C8" s="2" t="s">
        <v>37</v>
      </c>
      <c r="D8" s="2">
        <v>100000</v>
      </c>
      <c r="E8" s="2">
        <v>25</v>
      </c>
      <c r="F8" s="2">
        <f t="shared" si="0"/>
        <v>2600000</v>
      </c>
      <c r="G8" s="17">
        <f t="shared" si="1"/>
        <v>568965.51724137936</v>
      </c>
      <c r="H8" s="17">
        <f t="shared" si="2"/>
        <v>3168965.5172413792</v>
      </c>
    </row>
    <row r="9" spans="1:8" x14ac:dyDescent="0.25">
      <c r="A9" s="2">
        <v>6</v>
      </c>
      <c r="B9" s="2" t="s">
        <v>48</v>
      </c>
      <c r="C9" s="2" t="s">
        <v>37</v>
      </c>
      <c r="D9" s="2">
        <v>80000</v>
      </c>
      <c r="E9" s="2">
        <v>28</v>
      </c>
      <c r="F9" s="2">
        <f t="shared" si="0"/>
        <v>2560000</v>
      </c>
      <c r="G9" s="17">
        <f t="shared" si="1"/>
        <v>637241.37931034481</v>
      </c>
      <c r="H9" s="17">
        <f t="shared" si="2"/>
        <v>3197241.3793103448</v>
      </c>
    </row>
    <row r="10" spans="1:8" x14ac:dyDescent="0.25">
      <c r="A10" s="2">
        <v>7</v>
      </c>
      <c r="B10" s="2" t="s">
        <v>49</v>
      </c>
      <c r="C10" s="2" t="s">
        <v>37</v>
      </c>
      <c r="D10" s="2">
        <v>90000</v>
      </c>
      <c r="E10" s="2">
        <v>26</v>
      </c>
      <c r="F10" s="2">
        <f t="shared" si="0"/>
        <v>2520000</v>
      </c>
      <c r="G10" s="17">
        <f t="shared" si="1"/>
        <v>591724.13793103455</v>
      </c>
      <c r="H10" s="17">
        <f t="shared" si="2"/>
        <v>3111724.1379310344</v>
      </c>
    </row>
    <row r="11" spans="1:8" x14ac:dyDescent="0.25">
      <c r="A11" s="19" t="s">
        <v>52</v>
      </c>
      <c r="B11" s="19"/>
      <c r="C11" s="19"/>
      <c r="D11" s="19"/>
      <c r="E11" s="18">
        <f>SUM(E4:E10)</f>
        <v>174</v>
      </c>
      <c r="F11" s="2">
        <f>SUM(F4:F10)</f>
        <v>21040000</v>
      </c>
      <c r="G11" s="2">
        <f t="shared" ref="G11:H11" si="3">SUM(G4:G10)</f>
        <v>3960000</v>
      </c>
      <c r="H11" s="2">
        <f t="shared" si="3"/>
        <v>24999999.999999996</v>
      </c>
    </row>
  </sheetData>
  <mergeCells count="3">
    <mergeCell ref="B2:G2"/>
    <mergeCell ref="A11:D11"/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ACB8-86B5-4EFD-A51C-AB3501D99494}">
  <dimension ref="A1:H16"/>
  <sheetViews>
    <sheetView zoomScale="175" zoomScaleNormal="175" workbookViewId="0">
      <selection activeCell="H5" sqref="H5"/>
    </sheetView>
  </sheetViews>
  <sheetFormatPr defaultRowHeight="15" x14ac:dyDescent="0.25"/>
  <cols>
    <col min="1" max="1" width="3.140625" bestFit="1" customWidth="1"/>
    <col min="2" max="2" width="18.7109375" bestFit="1" customWidth="1"/>
    <col min="3" max="3" width="5.42578125" bestFit="1" customWidth="1"/>
    <col min="4" max="4" width="6.85546875" bestFit="1" customWidth="1"/>
    <col min="5" max="5" width="5.7109375" bestFit="1" customWidth="1"/>
    <col min="6" max="6" width="8.42578125" bestFit="1" customWidth="1"/>
    <col min="7" max="7" width="10.42578125" bestFit="1" customWidth="1"/>
  </cols>
  <sheetData>
    <row r="1" spans="1:8" s="9" customFormat="1" x14ac:dyDescent="0.25">
      <c r="A1" s="14" t="s">
        <v>72</v>
      </c>
      <c r="B1" s="14"/>
      <c r="C1" s="14"/>
      <c r="D1" s="14"/>
      <c r="E1" s="14"/>
      <c r="F1" s="14"/>
      <c r="G1" s="14"/>
      <c r="H1" s="14"/>
    </row>
    <row r="2" spans="1:8" x14ac:dyDescent="0.25">
      <c r="A2" s="1" t="s">
        <v>73</v>
      </c>
      <c r="B2" s="1"/>
      <c r="C2" s="1"/>
      <c r="D2" s="1"/>
      <c r="E2" s="1"/>
      <c r="F2" s="1"/>
      <c r="G2" s="1"/>
      <c r="H2" s="1"/>
    </row>
    <row r="3" spans="1:8" s="9" customFormat="1" ht="30" x14ac:dyDescent="0.25">
      <c r="A3" s="22" t="s">
        <v>55</v>
      </c>
      <c r="B3" s="22" t="s">
        <v>56</v>
      </c>
      <c r="C3" s="23" t="s">
        <v>67</v>
      </c>
      <c r="D3" s="23" t="s">
        <v>68</v>
      </c>
      <c r="E3" s="22" t="s">
        <v>57</v>
      </c>
      <c r="F3" s="23" t="s">
        <v>69</v>
      </c>
      <c r="G3" s="23" t="s">
        <v>70</v>
      </c>
      <c r="H3" s="23" t="s">
        <v>71</v>
      </c>
    </row>
    <row r="4" spans="1:8" x14ac:dyDescent="0.25">
      <c r="A4" s="2">
        <v>1</v>
      </c>
      <c r="B4" s="2" t="s">
        <v>58</v>
      </c>
      <c r="C4" s="2">
        <v>4</v>
      </c>
      <c r="D4" s="2">
        <v>8</v>
      </c>
      <c r="E4" s="24">
        <f>(C4*2+D4)/3</f>
        <v>5.333333333333333</v>
      </c>
      <c r="F4" s="2" t="str">
        <f>IF(OR(E4&lt;5,C4&lt;3,D4&lt;3),"Rớt","Đậu")</f>
        <v>Đậu</v>
      </c>
      <c r="G4" s="2" t="str">
        <f>IF(E4&lt;5,"Yếu",IF(E4&lt;7,"Trung bình",IF(E4&lt;=8,"Khá","Giỏi")))</f>
        <v>Trung bình</v>
      </c>
      <c r="H4" s="2">
        <f>RANK(E4,$E$4:$E$13,0)</f>
        <v>8</v>
      </c>
    </row>
    <row r="5" spans="1:8" x14ac:dyDescent="0.25">
      <c r="A5" s="2">
        <v>2</v>
      </c>
      <c r="B5" s="2" t="s">
        <v>59</v>
      </c>
      <c r="C5" s="2">
        <v>7</v>
      </c>
      <c r="D5" s="2">
        <v>7</v>
      </c>
      <c r="E5" s="24">
        <f t="shared" ref="E5:E13" si="0">(C5*2+D5)/3</f>
        <v>7</v>
      </c>
      <c r="F5" s="2" t="str">
        <f t="shared" ref="F5:F13" si="1">IF(OR(E5&lt;5,C5&lt;3,D5&lt;3),"Rớt","Đậu")</f>
        <v>Đậu</v>
      </c>
      <c r="G5" s="2" t="str">
        <f t="shared" ref="G5:G13" si="2">IF(E5&lt;5,"Yếu",IF(E5&lt;7,"Trung bình",IF(E5&lt;=8,"Khá","Giỏi")))</f>
        <v>Khá</v>
      </c>
      <c r="H5" s="2">
        <f t="shared" ref="H5:H13" si="3">RANK(E5,$E$4:$E$13,0)</f>
        <v>5</v>
      </c>
    </row>
    <row r="6" spans="1:8" x14ac:dyDescent="0.25">
      <c r="A6" s="2">
        <v>3</v>
      </c>
      <c r="B6" s="2" t="s">
        <v>60</v>
      </c>
      <c r="C6" s="2">
        <v>7</v>
      </c>
      <c r="D6" s="2">
        <v>2</v>
      </c>
      <c r="E6" s="24">
        <f t="shared" si="0"/>
        <v>5.333333333333333</v>
      </c>
      <c r="F6" s="2" t="str">
        <f t="shared" si="1"/>
        <v>Rớt</v>
      </c>
      <c r="G6" s="2" t="str">
        <f t="shared" si="2"/>
        <v>Trung bình</v>
      </c>
      <c r="H6" s="2">
        <f t="shared" si="3"/>
        <v>8</v>
      </c>
    </row>
    <row r="7" spans="1:8" x14ac:dyDescent="0.25">
      <c r="A7" s="2">
        <v>4</v>
      </c>
      <c r="B7" s="2" t="s">
        <v>61</v>
      </c>
      <c r="C7" s="2">
        <v>6</v>
      </c>
      <c r="D7" s="2">
        <v>5</v>
      </c>
      <c r="E7" s="24">
        <f t="shared" si="0"/>
        <v>5.666666666666667</v>
      </c>
      <c r="F7" s="2" t="str">
        <f t="shared" si="1"/>
        <v>Đậu</v>
      </c>
      <c r="G7" s="2" t="str">
        <f t="shared" si="2"/>
        <v>Trung bình</v>
      </c>
      <c r="H7" s="2">
        <f t="shared" si="3"/>
        <v>7</v>
      </c>
    </row>
    <row r="8" spans="1:8" x14ac:dyDescent="0.25">
      <c r="A8" s="2">
        <v>5</v>
      </c>
      <c r="B8" s="2" t="s">
        <v>62</v>
      </c>
      <c r="C8" s="2">
        <v>5</v>
      </c>
      <c r="D8" s="2">
        <v>4</v>
      </c>
      <c r="E8" s="24">
        <f t="shared" si="0"/>
        <v>4.666666666666667</v>
      </c>
      <c r="F8" s="2" t="str">
        <f t="shared" si="1"/>
        <v>Rớt</v>
      </c>
      <c r="G8" s="2" t="str">
        <f t="shared" si="2"/>
        <v>Yếu</v>
      </c>
      <c r="H8" s="2">
        <f t="shared" si="3"/>
        <v>10</v>
      </c>
    </row>
    <row r="9" spans="1:8" x14ac:dyDescent="0.25">
      <c r="A9" s="2">
        <v>6</v>
      </c>
      <c r="B9" s="2" t="s">
        <v>63</v>
      </c>
      <c r="C9" s="2">
        <v>9</v>
      </c>
      <c r="D9" s="2">
        <v>10</v>
      </c>
      <c r="E9" s="24">
        <f t="shared" si="0"/>
        <v>9.3333333333333339</v>
      </c>
      <c r="F9" s="2" t="str">
        <f t="shared" si="1"/>
        <v>Đậu</v>
      </c>
      <c r="G9" s="2" t="str">
        <f t="shared" si="2"/>
        <v>Giỏi</v>
      </c>
      <c r="H9" s="2">
        <f t="shared" si="3"/>
        <v>1</v>
      </c>
    </row>
    <row r="10" spans="1:8" x14ac:dyDescent="0.25">
      <c r="A10" s="2">
        <v>7</v>
      </c>
      <c r="B10" s="2" t="s">
        <v>64</v>
      </c>
      <c r="C10" s="2">
        <v>6</v>
      </c>
      <c r="D10" s="2">
        <v>6</v>
      </c>
      <c r="E10" s="24">
        <f t="shared" si="0"/>
        <v>6</v>
      </c>
      <c r="F10" s="2" t="str">
        <f t="shared" si="1"/>
        <v>Đậu</v>
      </c>
      <c r="G10" s="2" t="str">
        <f t="shared" si="2"/>
        <v>Trung bình</v>
      </c>
      <c r="H10" s="2">
        <f t="shared" si="3"/>
        <v>6</v>
      </c>
    </row>
    <row r="11" spans="1:8" x14ac:dyDescent="0.25">
      <c r="A11" s="2">
        <v>8</v>
      </c>
      <c r="B11" s="2" t="s">
        <v>65</v>
      </c>
      <c r="C11" s="2">
        <v>8</v>
      </c>
      <c r="D11" s="2">
        <v>9</v>
      </c>
      <c r="E11" s="24">
        <f t="shared" si="0"/>
        <v>8.3333333333333339</v>
      </c>
      <c r="F11" s="2" t="str">
        <f t="shared" si="1"/>
        <v>Đậu</v>
      </c>
      <c r="G11" s="2" t="str">
        <f t="shared" si="2"/>
        <v>Giỏi</v>
      </c>
      <c r="H11" s="2">
        <f t="shared" si="3"/>
        <v>2</v>
      </c>
    </row>
    <row r="12" spans="1:8" x14ac:dyDescent="0.25">
      <c r="A12" s="2">
        <v>9</v>
      </c>
      <c r="B12" s="2" t="s">
        <v>66</v>
      </c>
      <c r="C12" s="2">
        <v>8</v>
      </c>
      <c r="D12" s="2">
        <v>7</v>
      </c>
      <c r="E12" s="24">
        <f t="shared" si="0"/>
        <v>7.666666666666667</v>
      </c>
      <c r="F12" s="2" t="str">
        <f t="shared" si="1"/>
        <v>Đậu</v>
      </c>
      <c r="G12" s="2" t="str">
        <f t="shared" si="2"/>
        <v>Khá</v>
      </c>
      <c r="H12" s="2">
        <f t="shared" si="3"/>
        <v>4</v>
      </c>
    </row>
    <row r="13" spans="1:8" x14ac:dyDescent="0.25">
      <c r="A13" s="2">
        <v>10</v>
      </c>
      <c r="B13" s="2" t="s">
        <v>32</v>
      </c>
      <c r="C13" s="2">
        <v>9</v>
      </c>
      <c r="D13" s="2">
        <v>6</v>
      </c>
      <c r="E13" s="24">
        <f t="shared" si="0"/>
        <v>8</v>
      </c>
      <c r="F13" s="2" t="str">
        <f t="shared" si="1"/>
        <v>Đậu</v>
      </c>
      <c r="G13" s="2" t="str">
        <f t="shared" si="2"/>
        <v>Khá</v>
      </c>
      <c r="H13" s="2">
        <f t="shared" si="3"/>
        <v>3</v>
      </c>
    </row>
    <row r="14" spans="1:8" x14ac:dyDescent="0.25">
      <c r="C14" s="25" t="s">
        <v>74</v>
      </c>
      <c r="D14" s="25"/>
      <c r="E14" s="25"/>
      <c r="F14" s="26">
        <f>AVERAGE(E4:E13)</f>
        <v>6.7333333333333343</v>
      </c>
    </row>
    <row r="15" spans="1:8" x14ac:dyDescent="0.25">
      <c r="C15" s="1" t="s">
        <v>75</v>
      </c>
      <c r="D15" s="1"/>
      <c r="E15" s="1"/>
      <c r="F15" s="20">
        <f>MAX(E4:E13)</f>
        <v>9.3333333333333339</v>
      </c>
    </row>
    <row r="16" spans="1:8" x14ac:dyDescent="0.25">
      <c r="C16" s="1" t="s">
        <v>76</v>
      </c>
      <c r="D16" s="1"/>
      <c r="E16" s="1"/>
      <c r="F16" s="20">
        <f>MIN(E4:E13)</f>
        <v>4.666666666666667</v>
      </c>
    </row>
  </sheetData>
  <mergeCells count="5">
    <mergeCell ref="A1:H1"/>
    <mergeCell ref="A2:H2"/>
    <mergeCell ref="C14:E14"/>
    <mergeCell ref="C15:E15"/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DD54-A1A8-4B8F-8545-E66B00CB56B7}">
  <dimension ref="A1:O9"/>
  <sheetViews>
    <sheetView topLeftCell="E1" zoomScale="115" zoomScaleNormal="115" workbookViewId="0">
      <selection activeCell="H3" sqref="H3"/>
    </sheetView>
  </sheetViews>
  <sheetFormatPr defaultRowHeight="15" x14ac:dyDescent="0.25"/>
  <cols>
    <col min="2" max="2" width="6.42578125" bestFit="1" customWidth="1"/>
    <col min="3" max="3" width="6.5703125" bestFit="1" customWidth="1"/>
    <col min="4" max="5" width="11.85546875" bestFit="1" customWidth="1"/>
    <col min="6" max="6" width="7.5703125" bestFit="1" customWidth="1"/>
    <col min="7" max="7" width="9.85546875" bestFit="1" customWidth="1"/>
    <col min="8" max="8" width="9.5703125" bestFit="1" customWidth="1"/>
    <col min="9" max="9" width="9.7109375" bestFit="1" customWidth="1"/>
    <col min="10" max="10" width="10.42578125" bestFit="1" customWidth="1"/>
    <col min="12" max="12" width="10.5703125" bestFit="1" customWidth="1"/>
    <col min="13" max="14" width="7.7109375" bestFit="1" customWidth="1"/>
    <col min="15" max="15" width="8.85546875" customWidth="1"/>
  </cols>
  <sheetData>
    <row r="1" spans="1:15" x14ac:dyDescent="0.25">
      <c r="B1" s="29" t="s">
        <v>143</v>
      </c>
      <c r="C1" s="29"/>
      <c r="D1" s="29"/>
      <c r="E1" s="29"/>
      <c r="F1" s="29"/>
      <c r="G1" s="29"/>
      <c r="H1" s="29"/>
      <c r="I1" s="29"/>
      <c r="J1" s="29"/>
    </row>
    <row r="2" spans="1:15" s="10" customFormat="1" ht="30" x14ac:dyDescent="0.25">
      <c r="A2" s="12" t="s">
        <v>77</v>
      </c>
      <c r="B2" s="27" t="s">
        <v>78</v>
      </c>
      <c r="C2" s="27" t="s">
        <v>79</v>
      </c>
      <c r="D2" s="12" t="s">
        <v>80</v>
      </c>
      <c r="E2" s="12" t="s">
        <v>81</v>
      </c>
      <c r="F2" s="12" t="s">
        <v>82</v>
      </c>
      <c r="G2" s="12" t="s">
        <v>83</v>
      </c>
      <c r="H2" s="27" t="s">
        <v>84</v>
      </c>
      <c r="I2" s="27" t="s">
        <v>85</v>
      </c>
      <c r="J2" s="12" t="s">
        <v>5</v>
      </c>
      <c r="L2" s="12" t="s">
        <v>144</v>
      </c>
      <c r="M2" s="27" t="s">
        <v>146</v>
      </c>
      <c r="N2" s="27" t="s">
        <v>145</v>
      </c>
    </row>
    <row r="3" spans="1:15" x14ac:dyDescent="0.25">
      <c r="A3" s="12">
        <v>1</v>
      </c>
      <c r="B3" s="2" t="s">
        <v>86</v>
      </c>
      <c r="C3" s="2" t="s">
        <v>93</v>
      </c>
      <c r="D3" s="28">
        <v>40360</v>
      </c>
      <c r="E3" s="28">
        <v>40388</v>
      </c>
      <c r="F3" s="30">
        <f>INT(DATEDIF(D3,E3,"D")/7)</f>
        <v>4</v>
      </c>
      <c r="G3" s="30">
        <f>MOD(DATEDIF(D3,E3,"D"),7)</f>
        <v>0</v>
      </c>
      <c r="H3" s="2">
        <f>VLOOKUP(C3,$L$3:$N$5,2,FALSE)*F3</f>
        <v>380</v>
      </c>
      <c r="I3" s="2">
        <f>VLOOKUP(C3,$L$3:$N$5,3,FALSE)*G3</f>
        <v>0</v>
      </c>
      <c r="J3" s="2">
        <f>H3+I3</f>
        <v>380</v>
      </c>
      <c r="L3" s="2" t="s">
        <v>94</v>
      </c>
      <c r="M3" s="2">
        <v>130</v>
      </c>
      <c r="N3" s="2">
        <v>20</v>
      </c>
    </row>
    <row r="4" spans="1:15" x14ac:dyDescent="0.25">
      <c r="A4" s="12">
        <v>2</v>
      </c>
      <c r="B4" s="2" t="s">
        <v>87</v>
      </c>
      <c r="C4" s="2" t="s">
        <v>94</v>
      </c>
      <c r="D4" s="28">
        <v>40361</v>
      </c>
      <c r="E4" s="28">
        <v>40378</v>
      </c>
      <c r="F4" s="30">
        <f t="shared" ref="F4:F9" si="0">INT(DATEDIF(D4,E4,"D")/7)</f>
        <v>2</v>
      </c>
      <c r="G4" s="30">
        <f t="shared" ref="G4:G9" si="1">MOD(DATEDIF(D4,E4,"D"),7)</f>
        <v>3</v>
      </c>
      <c r="H4" s="2">
        <f>VLOOKUP(C4,$L$3:$N$5,2,FALSE)*F4</f>
        <v>260</v>
      </c>
      <c r="I4" s="2">
        <f t="shared" ref="I4:I9" si="2">VLOOKUP(C4,$L$3:$N$5,3,FALSE)*G4</f>
        <v>60</v>
      </c>
      <c r="J4" s="2">
        <f t="shared" ref="J4:J9" si="3">H4+I4</f>
        <v>320</v>
      </c>
      <c r="L4" s="2" t="s">
        <v>93</v>
      </c>
      <c r="M4" s="2">
        <v>95</v>
      </c>
      <c r="N4" s="2">
        <v>15</v>
      </c>
    </row>
    <row r="5" spans="1:15" x14ac:dyDescent="0.25">
      <c r="A5" s="12">
        <v>3</v>
      </c>
      <c r="B5" s="2" t="s">
        <v>88</v>
      </c>
      <c r="C5" s="2" t="s">
        <v>94</v>
      </c>
      <c r="D5" s="28">
        <v>40364</v>
      </c>
      <c r="E5" s="28">
        <v>40372</v>
      </c>
      <c r="F5" s="30">
        <f t="shared" si="0"/>
        <v>1</v>
      </c>
      <c r="G5" s="30">
        <f t="shared" si="1"/>
        <v>1</v>
      </c>
      <c r="H5" s="2">
        <f t="shared" ref="H4:H9" si="4">VLOOKUP(C5,$L$3:$N$5,2,FALSE)*F5</f>
        <v>130</v>
      </c>
      <c r="I5" s="2">
        <f t="shared" si="2"/>
        <v>20</v>
      </c>
      <c r="J5" s="2">
        <f t="shared" si="3"/>
        <v>150</v>
      </c>
      <c r="L5" s="2" t="s">
        <v>95</v>
      </c>
      <c r="M5" s="2">
        <v>65</v>
      </c>
      <c r="N5" s="2">
        <v>10</v>
      </c>
    </row>
    <row r="6" spans="1:15" x14ac:dyDescent="0.25">
      <c r="A6" s="12">
        <v>4</v>
      </c>
      <c r="B6" s="2" t="s">
        <v>89</v>
      </c>
      <c r="C6" s="2" t="s">
        <v>95</v>
      </c>
      <c r="D6" s="28">
        <v>40366</v>
      </c>
      <c r="E6" s="28">
        <v>40384</v>
      </c>
      <c r="F6" s="30">
        <f t="shared" si="0"/>
        <v>2</v>
      </c>
      <c r="G6" s="30">
        <f t="shared" si="1"/>
        <v>4</v>
      </c>
      <c r="H6" s="2">
        <f t="shared" si="4"/>
        <v>130</v>
      </c>
      <c r="I6" s="2">
        <f t="shared" si="2"/>
        <v>40</v>
      </c>
      <c r="J6" s="2">
        <f>H6+I6</f>
        <v>170</v>
      </c>
    </row>
    <row r="7" spans="1:15" x14ac:dyDescent="0.25">
      <c r="A7" s="12">
        <v>5</v>
      </c>
      <c r="B7" s="2" t="s">
        <v>90</v>
      </c>
      <c r="C7" s="2" t="s">
        <v>93</v>
      </c>
      <c r="D7" s="28">
        <v>40367</v>
      </c>
      <c r="E7" s="28">
        <v>40379</v>
      </c>
      <c r="F7" s="30">
        <f t="shared" si="0"/>
        <v>1</v>
      </c>
      <c r="G7" s="30">
        <f t="shared" si="1"/>
        <v>5</v>
      </c>
      <c r="H7" s="2">
        <f t="shared" si="4"/>
        <v>95</v>
      </c>
      <c r="I7" s="2">
        <f t="shared" si="2"/>
        <v>75</v>
      </c>
      <c r="J7" s="2">
        <f t="shared" si="3"/>
        <v>170</v>
      </c>
    </row>
    <row r="8" spans="1:15" x14ac:dyDescent="0.25">
      <c r="A8" s="12">
        <v>6</v>
      </c>
      <c r="B8" s="2" t="s">
        <v>91</v>
      </c>
      <c r="C8" s="2" t="s">
        <v>95</v>
      </c>
      <c r="D8" s="28">
        <v>40368</v>
      </c>
      <c r="E8" s="28">
        <v>40380</v>
      </c>
      <c r="F8" s="30">
        <f t="shared" si="0"/>
        <v>1</v>
      </c>
      <c r="G8" s="30">
        <f t="shared" si="1"/>
        <v>5</v>
      </c>
      <c r="H8" s="2">
        <f t="shared" si="4"/>
        <v>65</v>
      </c>
      <c r="I8" s="2">
        <f t="shared" si="2"/>
        <v>50</v>
      </c>
      <c r="J8" s="2">
        <f t="shared" si="3"/>
        <v>115</v>
      </c>
      <c r="L8" s="2" t="s">
        <v>147</v>
      </c>
      <c r="M8" s="2" t="s">
        <v>94</v>
      </c>
      <c r="N8" s="2" t="s">
        <v>93</v>
      </c>
      <c r="O8" s="2" t="s">
        <v>95</v>
      </c>
    </row>
    <row r="9" spans="1:15" x14ac:dyDescent="0.25">
      <c r="A9" s="12">
        <v>7</v>
      </c>
      <c r="B9" s="2" t="s">
        <v>92</v>
      </c>
      <c r="C9" s="2" t="s">
        <v>93</v>
      </c>
      <c r="D9" s="28">
        <v>40369</v>
      </c>
      <c r="E9" s="28">
        <v>40384</v>
      </c>
      <c r="F9" s="30">
        <f t="shared" si="0"/>
        <v>2</v>
      </c>
      <c r="G9" s="30">
        <f t="shared" si="1"/>
        <v>1</v>
      </c>
      <c r="H9" s="2">
        <f t="shared" si="4"/>
        <v>190</v>
      </c>
      <c r="I9" s="2">
        <f t="shared" si="2"/>
        <v>15</v>
      </c>
      <c r="J9" s="2">
        <f t="shared" si="3"/>
        <v>205</v>
      </c>
      <c r="L9" s="2" t="s">
        <v>142</v>
      </c>
      <c r="M9" s="2">
        <f>SUMIF($C$3:$C$9,"A",J3:J9)</f>
        <v>470</v>
      </c>
      <c r="N9" s="2">
        <f>SUMIF($C$3:$C$9,"B",J3:J9)</f>
        <v>755</v>
      </c>
      <c r="O9" s="2">
        <f>SUMIF($C$3:$C$9,"C",J3:J9)</f>
        <v>285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ED69-157D-4E15-A7D0-5C3558EEA35D}">
  <dimension ref="A2:S18"/>
  <sheetViews>
    <sheetView zoomScale="115" zoomScaleNormal="115" workbookViewId="0">
      <selection activeCell="G3" sqref="G3"/>
    </sheetView>
  </sheetViews>
  <sheetFormatPr defaultRowHeight="15" x14ac:dyDescent="0.25"/>
  <cols>
    <col min="2" max="2" width="16.7109375" bestFit="1" customWidth="1"/>
    <col min="3" max="3" width="8" bestFit="1" customWidth="1"/>
    <col min="4" max="4" width="9.140625" bestFit="1" customWidth="1"/>
    <col min="5" max="5" width="12.5703125" customWidth="1"/>
    <col min="6" max="6" width="11.28515625" customWidth="1"/>
    <col min="7" max="7" width="7.85546875" bestFit="1" customWidth="1"/>
    <col min="8" max="8" width="11.85546875" bestFit="1" customWidth="1"/>
    <col min="11" max="11" width="17.28515625" bestFit="1" customWidth="1"/>
    <col min="12" max="12" width="7.28515625" bestFit="1" customWidth="1"/>
    <col min="14" max="14" width="9" bestFit="1" customWidth="1"/>
    <col min="16" max="16" width="10.140625" bestFit="1" customWidth="1"/>
  </cols>
  <sheetData>
    <row r="2" spans="1:19" s="21" customFormat="1" ht="30" x14ac:dyDescent="0.25">
      <c r="A2" s="22" t="s">
        <v>0</v>
      </c>
      <c r="B2" s="22" t="s">
        <v>96</v>
      </c>
      <c r="C2" s="22" t="s">
        <v>97</v>
      </c>
      <c r="D2" s="22" t="s">
        <v>98</v>
      </c>
      <c r="E2" s="23" t="s">
        <v>103</v>
      </c>
      <c r="F2" s="22" t="s">
        <v>100</v>
      </c>
      <c r="G2" s="22" t="s">
        <v>101</v>
      </c>
      <c r="H2" s="22" t="s">
        <v>102</v>
      </c>
    </row>
    <row r="3" spans="1:19" x14ac:dyDescent="0.25">
      <c r="A3" s="2">
        <v>3</v>
      </c>
      <c r="B3" s="2" t="s">
        <v>106</v>
      </c>
      <c r="C3" s="2" t="s">
        <v>117</v>
      </c>
      <c r="D3" s="2" t="s">
        <v>129</v>
      </c>
      <c r="E3" s="2" t="str">
        <f>VLOOKUP(LEFT(D3,2),$J$4:$N$6,2,FALSE)</f>
        <v>ĐÀ LẠT</v>
      </c>
      <c r="F3" s="2">
        <f>VLOOKUP(LEFT(D3,2),$J$4:$N$6,3,FALSE)</f>
        <v>250000</v>
      </c>
      <c r="G3" s="2">
        <f>VLOOKUP(LEFT(D3,2),$J$4:$N$6,IF(RIGHT(D3,1)="A",4,5),FALSE)</f>
        <v>550000</v>
      </c>
      <c r="H3" s="2">
        <f>F3+G3</f>
        <v>800000</v>
      </c>
      <c r="J3" s="4" t="s">
        <v>133</v>
      </c>
      <c r="K3" s="4" t="s">
        <v>99</v>
      </c>
      <c r="L3" s="4" t="s">
        <v>100</v>
      </c>
      <c r="M3" s="4" t="s">
        <v>134</v>
      </c>
      <c r="N3" s="4" t="s">
        <v>135</v>
      </c>
      <c r="P3" s="2" t="s">
        <v>133</v>
      </c>
      <c r="Q3" s="2" t="s">
        <v>136</v>
      </c>
      <c r="R3" s="2" t="s">
        <v>137</v>
      </c>
      <c r="S3" s="2" t="s">
        <v>138</v>
      </c>
    </row>
    <row r="4" spans="1:19" x14ac:dyDescent="0.25">
      <c r="A4" s="2">
        <v>4</v>
      </c>
      <c r="B4" s="2" t="s">
        <v>107</v>
      </c>
      <c r="C4" s="2" t="s">
        <v>118</v>
      </c>
      <c r="D4" s="2" t="s">
        <v>130</v>
      </c>
      <c r="E4" s="2" t="str">
        <f>VLOOKUP(LEFT(D4,2),$J$4:$N$6,2,FALSE)</f>
        <v>ĐÀ LẠT</v>
      </c>
      <c r="F4" s="2">
        <f>VLOOKUP(LEFT(D4,2),$J$4:$N$6,3,FALSE)</f>
        <v>250000</v>
      </c>
      <c r="G4" s="2">
        <f>VLOOKUP(LEFT(D4,2),$J$4:$N$6,IF(RIGHT(D4,1)="A",4,5),FALSE)</f>
        <v>600000</v>
      </c>
      <c r="H4" s="2">
        <f>F4+G4</f>
        <v>850000</v>
      </c>
      <c r="J4" s="2" t="s">
        <v>136</v>
      </c>
      <c r="K4" s="2" t="s">
        <v>139</v>
      </c>
      <c r="L4" s="2">
        <v>100000</v>
      </c>
      <c r="M4" s="2">
        <v>500000</v>
      </c>
      <c r="N4" s="2">
        <v>450000</v>
      </c>
      <c r="P4" s="2" t="s">
        <v>142</v>
      </c>
      <c r="Q4" s="2">
        <f>SUMIF($E$3:$E$14,"VŨNG TÀU",$H$3:$H$14)</f>
        <v>2900000</v>
      </c>
      <c r="R4" s="2">
        <f>SUMIF($E$3:$E$14,"NHA TRANG",$H$3:$H$14)</f>
        <v>2900000</v>
      </c>
      <c r="S4" s="2">
        <f>SUMIF($E$3:$E$14,"ĐÀ LẠT",$H$3:$H$14)</f>
        <v>3250000</v>
      </c>
    </row>
    <row r="5" spans="1:19" x14ac:dyDescent="0.25">
      <c r="A5" s="2">
        <v>9</v>
      </c>
      <c r="B5" s="2" t="s">
        <v>112</v>
      </c>
      <c r="C5" s="2" t="s">
        <v>123</v>
      </c>
      <c r="D5" s="2" t="s">
        <v>129</v>
      </c>
      <c r="E5" s="2" t="str">
        <f>VLOOKUP(LEFT(D5,2),$J$4:$N$6,2,FALSE)</f>
        <v>ĐÀ LẠT</v>
      </c>
      <c r="F5" s="2">
        <f>VLOOKUP(LEFT(D5,2),$J$4:$N$6,3,FALSE)</f>
        <v>250000</v>
      </c>
      <c r="G5" s="2">
        <f>VLOOKUP(LEFT(D5,2),$J$4:$N$6,IF(RIGHT(D5,1)="A",4,5),FALSE)</f>
        <v>550000</v>
      </c>
      <c r="H5" s="2">
        <f>F5+G5</f>
        <v>800000</v>
      </c>
      <c r="J5" s="2" t="s">
        <v>137</v>
      </c>
      <c r="K5" s="2" t="s">
        <v>140</v>
      </c>
      <c r="L5" s="2">
        <v>300000</v>
      </c>
      <c r="M5" s="2">
        <v>700000</v>
      </c>
      <c r="N5" s="2">
        <v>650000</v>
      </c>
    </row>
    <row r="6" spans="1:19" x14ac:dyDescent="0.25">
      <c r="A6" s="2">
        <v>11</v>
      </c>
      <c r="B6" s="2" t="s">
        <v>104</v>
      </c>
      <c r="C6" s="2" t="s">
        <v>125</v>
      </c>
      <c r="D6" s="2" t="s">
        <v>129</v>
      </c>
      <c r="E6" s="2" t="str">
        <f>VLOOKUP(LEFT(D6,2),$J$4:$N$6,2,FALSE)</f>
        <v>ĐÀ LẠT</v>
      </c>
      <c r="F6" s="2">
        <f>VLOOKUP(LEFT(D6,2),$J$4:$N$6,3,FALSE)</f>
        <v>250000</v>
      </c>
      <c r="G6" s="2">
        <f>VLOOKUP(LEFT(D6,2),$J$4:$N$6,IF(RIGHT(D6,1)="A",4,5),FALSE)</f>
        <v>550000</v>
      </c>
      <c r="H6" s="2">
        <f>F6+G6</f>
        <v>800000</v>
      </c>
      <c r="J6" s="2" t="s">
        <v>138</v>
      </c>
      <c r="K6" s="2" t="s">
        <v>141</v>
      </c>
      <c r="L6" s="2">
        <v>250000</v>
      </c>
      <c r="M6" s="2">
        <v>600000</v>
      </c>
      <c r="N6" s="2">
        <v>550000</v>
      </c>
    </row>
    <row r="7" spans="1:19" x14ac:dyDescent="0.25">
      <c r="A7" s="2">
        <v>2</v>
      </c>
      <c r="B7" s="2" t="s">
        <v>105</v>
      </c>
      <c r="C7" s="2" t="s">
        <v>116</v>
      </c>
      <c r="D7" s="2" t="s">
        <v>128</v>
      </c>
      <c r="E7" s="2" t="str">
        <f>VLOOKUP(LEFT(D7,2),$J$4:$N$6,2,FALSE)</f>
        <v>NHA TRANG</v>
      </c>
      <c r="F7" s="2">
        <f>VLOOKUP(LEFT(D7,2),$J$4:$N$6,3,FALSE)</f>
        <v>300000</v>
      </c>
      <c r="G7" s="2">
        <f>VLOOKUP(LEFT(D7,2),$J$4:$N$6,IF(RIGHT(D7,1)="A",4,5),FALSE)</f>
        <v>650000</v>
      </c>
      <c r="H7" s="2">
        <f>F7+G7</f>
        <v>950000</v>
      </c>
    </row>
    <row r="8" spans="1:19" x14ac:dyDescent="0.25">
      <c r="A8" s="2">
        <v>7</v>
      </c>
      <c r="B8" s="2" t="s">
        <v>110</v>
      </c>
      <c r="C8" s="2" t="s">
        <v>121</v>
      </c>
      <c r="D8" s="2" t="s">
        <v>128</v>
      </c>
      <c r="E8" s="2" t="str">
        <f>VLOOKUP(LEFT(D8,2),$J$4:$N$6,2,FALSE)</f>
        <v>NHA TRANG</v>
      </c>
      <c r="F8" s="2">
        <f>VLOOKUP(LEFT(D8,2),$J$4:$N$6,3,FALSE)</f>
        <v>300000</v>
      </c>
      <c r="G8" s="2">
        <f>VLOOKUP(LEFT(D8,2),$J$4:$N$6,IF(RIGHT(D8,1)="A",4,5),FALSE)</f>
        <v>650000</v>
      </c>
      <c r="H8" s="2">
        <f>F8+G8</f>
        <v>950000</v>
      </c>
    </row>
    <row r="9" spans="1:19" x14ac:dyDescent="0.25">
      <c r="A9" s="2">
        <v>10</v>
      </c>
      <c r="B9" s="2" t="s">
        <v>113</v>
      </c>
      <c r="C9" s="2" t="s">
        <v>124</v>
      </c>
      <c r="D9" s="2" t="s">
        <v>132</v>
      </c>
      <c r="E9" s="2" t="str">
        <f>VLOOKUP(LEFT(D9,2),$J$4:$N$6,2,FALSE)</f>
        <v>NHA TRANG</v>
      </c>
      <c r="F9" s="2">
        <f>VLOOKUP(LEFT(D9,2),$J$4:$N$6,3,FALSE)</f>
        <v>300000</v>
      </c>
      <c r="G9" s="2">
        <f>VLOOKUP(LEFT(D9,2),$J$4:$N$6,IF(RIGHT(D9,1)="A",4,5),FALSE)</f>
        <v>700000</v>
      </c>
      <c r="H9" s="2">
        <f>F9+G9</f>
        <v>1000000</v>
      </c>
    </row>
    <row r="10" spans="1:19" x14ac:dyDescent="0.25">
      <c r="A10" s="2">
        <v>1</v>
      </c>
      <c r="B10" s="2" t="s">
        <v>104</v>
      </c>
      <c r="C10" s="2" t="s">
        <v>115</v>
      </c>
      <c r="D10" s="2" t="s">
        <v>127</v>
      </c>
      <c r="E10" s="2" t="str">
        <f>VLOOKUP(LEFT(D10,2),$J$4:$N$6,2,FALSE)</f>
        <v>VŨNG TÀU</v>
      </c>
      <c r="F10" s="2">
        <f>VLOOKUP(LEFT(D10,2),$J$4:$N$6,3,FALSE)</f>
        <v>100000</v>
      </c>
      <c r="G10" s="2">
        <f>VLOOKUP(LEFT(D10,2),$J$4:$N$6,IF(RIGHT(D10,1)="A",4,5),FALSE)</f>
        <v>500000</v>
      </c>
      <c r="H10" s="2">
        <f>F10+G10</f>
        <v>600000</v>
      </c>
    </row>
    <row r="11" spans="1:19" x14ac:dyDescent="0.25">
      <c r="A11" s="2">
        <v>5</v>
      </c>
      <c r="B11" s="2" t="s">
        <v>108</v>
      </c>
      <c r="C11" s="2" t="s">
        <v>119</v>
      </c>
      <c r="D11" s="2" t="s">
        <v>131</v>
      </c>
      <c r="E11" s="2" t="str">
        <f>VLOOKUP(LEFT(D11,2),$J$4:$N$6,2,FALSE)</f>
        <v>VŨNG TÀU</v>
      </c>
      <c r="F11" s="2">
        <f>VLOOKUP(LEFT(D11,2),$J$4:$N$6,3,FALSE)</f>
        <v>100000</v>
      </c>
      <c r="G11" s="2">
        <f>VLOOKUP(LEFT(D11,2),$J$4:$N$6,IF(RIGHT(D11,1)="A",4,5),FALSE)</f>
        <v>450000</v>
      </c>
      <c r="H11" s="2">
        <f>F11+G11</f>
        <v>550000</v>
      </c>
    </row>
    <row r="12" spans="1:19" x14ac:dyDescent="0.25">
      <c r="A12" s="2">
        <v>6</v>
      </c>
      <c r="B12" s="2" t="s">
        <v>109</v>
      </c>
      <c r="C12" s="2" t="s">
        <v>120</v>
      </c>
      <c r="D12" s="2" t="s">
        <v>127</v>
      </c>
      <c r="E12" s="2" t="str">
        <f>VLOOKUP(LEFT(D12,2),$J$4:$N$6,2,FALSE)</f>
        <v>VŨNG TÀU</v>
      </c>
      <c r="F12" s="2">
        <f>VLOOKUP(LEFT(D12,2),$J$4:$N$6,3,FALSE)</f>
        <v>100000</v>
      </c>
      <c r="G12" s="2">
        <f>VLOOKUP(LEFT(D12,2),$J$4:$N$6,IF(RIGHT(D12,1)="A",4,5),FALSE)</f>
        <v>500000</v>
      </c>
      <c r="H12" s="2">
        <f>F12+G12</f>
        <v>600000</v>
      </c>
    </row>
    <row r="13" spans="1:19" x14ac:dyDescent="0.25">
      <c r="A13" s="2">
        <v>8</v>
      </c>
      <c r="B13" s="2" t="s">
        <v>111</v>
      </c>
      <c r="C13" s="2" t="s">
        <v>122</v>
      </c>
      <c r="D13" s="2" t="s">
        <v>131</v>
      </c>
      <c r="E13" s="2" t="str">
        <f>VLOOKUP(LEFT(D13,2),$J$4:$N$6,2,FALSE)</f>
        <v>VŨNG TÀU</v>
      </c>
      <c r="F13" s="2">
        <f>VLOOKUP(LEFT(D13,2),$J$4:$N$6,3,FALSE)</f>
        <v>100000</v>
      </c>
      <c r="G13" s="2">
        <f>VLOOKUP(LEFT(D13,2),$J$4:$N$6,IF(RIGHT(D13,1)="A",4,5),FALSE)</f>
        <v>450000</v>
      </c>
      <c r="H13" s="2">
        <f>F13+G13</f>
        <v>550000</v>
      </c>
    </row>
    <row r="14" spans="1:19" x14ac:dyDescent="0.25">
      <c r="A14" s="2">
        <v>12</v>
      </c>
      <c r="B14" s="2" t="s">
        <v>114</v>
      </c>
      <c r="C14" s="2" t="s">
        <v>126</v>
      </c>
      <c r="D14" s="2" t="s">
        <v>127</v>
      </c>
      <c r="E14" s="2" t="str">
        <f>VLOOKUP(LEFT(D14,2),$J$4:$N$6,2,FALSE)</f>
        <v>VŨNG TÀU</v>
      </c>
      <c r="F14" s="2">
        <f>VLOOKUP(LEFT(D14,2),$J$4:$N$6,3,FALSE)</f>
        <v>100000</v>
      </c>
      <c r="G14" s="2">
        <f>VLOOKUP(LEFT(D14,2),$J$4:$N$6,IF(RIGHT(D14,1)="A",4,5),FALSE)</f>
        <v>500000</v>
      </c>
      <c r="H14" s="2">
        <f>F14+G14</f>
        <v>600000</v>
      </c>
    </row>
    <row r="18" s="9" customFormat="1" x14ac:dyDescent="0.25"/>
  </sheetData>
  <sortState xmlns:xlrd2="http://schemas.microsoft.com/office/spreadsheetml/2017/richdata2" ref="A3:H14">
    <sortCondition ref="E3:E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6D55-FB4C-49E7-BE1C-C65F411BD20A}">
  <dimension ref="A1:S9"/>
  <sheetViews>
    <sheetView tabSelected="1" zoomScale="160" zoomScaleNormal="160" workbookViewId="0">
      <selection activeCell="F2" sqref="F2"/>
    </sheetView>
  </sheetViews>
  <sheetFormatPr defaultRowHeight="14.25" x14ac:dyDescent="0.2"/>
  <cols>
    <col min="1" max="1" width="9.28515625" style="31" bestFit="1" customWidth="1"/>
    <col min="2" max="2" width="9.140625" style="31"/>
    <col min="3" max="3" width="10.5703125" style="31" bestFit="1" customWidth="1"/>
    <col min="4" max="4" width="11.42578125" style="31" bestFit="1" customWidth="1"/>
    <col min="5" max="10" width="9.140625" style="31"/>
    <col min="11" max="11" width="11.42578125" style="31" bestFit="1" customWidth="1"/>
    <col min="12" max="14" width="9.28515625" style="31" bestFit="1" customWidth="1"/>
    <col min="15" max="15" width="9.140625" style="31"/>
    <col min="16" max="16" width="12.85546875" style="31" bestFit="1" customWidth="1"/>
    <col min="17" max="17" width="9.140625" style="31"/>
    <col min="18" max="18" width="9.85546875" style="31" bestFit="1" customWidth="1"/>
    <col min="19" max="19" width="10.5703125" style="31" bestFit="1" customWidth="1"/>
    <col min="20" max="16384" width="9.140625" style="31"/>
  </cols>
  <sheetData>
    <row r="1" spans="1:19" s="32" customFormat="1" ht="30" x14ac:dyDescent="0.25">
      <c r="A1" s="32" t="s">
        <v>55</v>
      </c>
      <c r="B1" s="32" t="s">
        <v>148</v>
      </c>
      <c r="C1" s="33" t="s">
        <v>149</v>
      </c>
      <c r="D1" s="33" t="s">
        <v>150</v>
      </c>
      <c r="E1" s="33" t="s">
        <v>151</v>
      </c>
      <c r="F1" s="33" t="s">
        <v>152</v>
      </c>
      <c r="G1" s="33" t="s">
        <v>153</v>
      </c>
      <c r="H1" s="33" t="s">
        <v>154</v>
      </c>
      <c r="I1" s="33" t="s">
        <v>155</v>
      </c>
    </row>
    <row r="2" spans="1:19" x14ac:dyDescent="0.2">
      <c r="A2" s="31">
        <v>1</v>
      </c>
      <c r="B2" s="31" t="s">
        <v>156</v>
      </c>
      <c r="C2" s="31" t="str">
        <f>HLOOKUP(B2,$Q$3:$S$4,2,0)</f>
        <v>TIVI</v>
      </c>
      <c r="D2" s="38">
        <v>39726</v>
      </c>
      <c r="E2" s="31">
        <v>30</v>
      </c>
      <c r="K2" s="31" t="s">
        <v>159</v>
      </c>
      <c r="P2" s="31" t="s">
        <v>161</v>
      </c>
    </row>
    <row r="3" spans="1:19" x14ac:dyDescent="0.2">
      <c r="A3" s="31">
        <v>2</v>
      </c>
      <c r="B3" s="31" t="s">
        <v>157</v>
      </c>
      <c r="C3" s="31" t="str">
        <f t="shared" ref="C3:C9" si="0">HLOOKUP(B3,$Q$3:$S$4,2,0)</f>
        <v>TỦ LẠNH</v>
      </c>
      <c r="D3" s="38">
        <v>39731</v>
      </c>
      <c r="E3" s="31">
        <v>20</v>
      </c>
      <c r="K3" s="34" t="s">
        <v>160</v>
      </c>
      <c r="L3" s="34" t="s">
        <v>156</v>
      </c>
      <c r="M3" s="34" t="s">
        <v>157</v>
      </c>
      <c r="N3" s="34" t="s">
        <v>158</v>
      </c>
      <c r="P3" s="34" t="s">
        <v>148</v>
      </c>
      <c r="Q3" s="36" t="s">
        <v>156</v>
      </c>
      <c r="R3" s="36" t="s">
        <v>157</v>
      </c>
      <c r="S3" s="36" t="s">
        <v>158</v>
      </c>
    </row>
    <row r="4" spans="1:19" x14ac:dyDescent="0.2">
      <c r="A4" s="31">
        <v>3</v>
      </c>
      <c r="B4" s="31" t="s">
        <v>158</v>
      </c>
      <c r="C4" s="31" t="str">
        <f t="shared" si="0"/>
        <v>MÁY GIẶT</v>
      </c>
      <c r="D4" s="38">
        <v>39749</v>
      </c>
      <c r="E4" s="31">
        <v>10</v>
      </c>
      <c r="K4" s="35">
        <v>39722</v>
      </c>
      <c r="L4" s="34">
        <v>250</v>
      </c>
      <c r="M4" s="34">
        <v>300</v>
      </c>
      <c r="N4" s="34">
        <v>280</v>
      </c>
      <c r="P4" s="34" t="s">
        <v>162</v>
      </c>
      <c r="Q4" s="36" t="s">
        <v>164</v>
      </c>
      <c r="R4" s="36" t="s">
        <v>165</v>
      </c>
      <c r="S4" s="36" t="s">
        <v>166</v>
      </c>
    </row>
    <row r="5" spans="1:19" x14ac:dyDescent="0.2">
      <c r="A5" s="31">
        <v>4</v>
      </c>
      <c r="B5" s="31" t="s">
        <v>158</v>
      </c>
      <c r="C5" s="31" t="str">
        <f t="shared" si="0"/>
        <v>MÁY GIẶT</v>
      </c>
      <c r="D5" s="38">
        <v>39759</v>
      </c>
      <c r="E5" s="31">
        <v>5</v>
      </c>
      <c r="K5" s="35">
        <v>39753</v>
      </c>
      <c r="L5" s="34">
        <v>240</v>
      </c>
      <c r="M5" s="34">
        <v>280</v>
      </c>
      <c r="N5" s="34">
        <v>270</v>
      </c>
      <c r="P5" s="34" t="s">
        <v>163</v>
      </c>
      <c r="Q5" s="37">
        <v>0</v>
      </c>
      <c r="R5" s="37">
        <v>0.05</v>
      </c>
      <c r="S5" s="37">
        <v>0.1</v>
      </c>
    </row>
    <row r="6" spans="1:19" x14ac:dyDescent="0.2">
      <c r="A6" s="31">
        <v>5</v>
      </c>
      <c r="B6" s="31" t="s">
        <v>157</v>
      </c>
      <c r="C6" s="31" t="str">
        <f t="shared" si="0"/>
        <v>TỦ LẠNH</v>
      </c>
      <c r="D6" s="38">
        <v>39766</v>
      </c>
      <c r="E6" s="31">
        <v>15</v>
      </c>
      <c r="K6" s="35">
        <v>39783</v>
      </c>
      <c r="L6" s="34">
        <v>210</v>
      </c>
      <c r="M6" s="34">
        <v>250</v>
      </c>
      <c r="N6" s="34">
        <v>230</v>
      </c>
    </row>
    <row r="7" spans="1:19" x14ac:dyDescent="0.2">
      <c r="A7" s="31">
        <v>6</v>
      </c>
      <c r="B7" s="31" t="s">
        <v>156</v>
      </c>
      <c r="C7" s="31" t="str">
        <f t="shared" si="0"/>
        <v>TIVI</v>
      </c>
      <c r="D7" s="38">
        <v>39772</v>
      </c>
      <c r="E7" s="31">
        <v>20</v>
      </c>
    </row>
    <row r="8" spans="1:19" x14ac:dyDescent="0.2">
      <c r="A8" s="31">
        <v>7</v>
      </c>
      <c r="B8" s="31" t="s">
        <v>156</v>
      </c>
      <c r="C8" s="31" t="str">
        <f t="shared" si="0"/>
        <v>TIVI</v>
      </c>
      <c r="D8" s="38">
        <v>39784</v>
      </c>
      <c r="E8" s="31">
        <v>45</v>
      </c>
    </row>
    <row r="9" spans="1:19" x14ac:dyDescent="0.2">
      <c r="A9" s="31">
        <v>8</v>
      </c>
      <c r="B9" s="31" t="s">
        <v>157</v>
      </c>
      <c r="C9" s="31" t="str">
        <f t="shared" si="0"/>
        <v>TỦ LẠNH</v>
      </c>
      <c r="D9" s="38">
        <v>39803</v>
      </c>
      <c r="E9" s="3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OU.PM</dc:creator>
  <cp:lastModifiedBy>OU.PM</cp:lastModifiedBy>
  <dcterms:created xsi:type="dcterms:W3CDTF">2023-12-19T06:04:27Z</dcterms:created>
  <dcterms:modified xsi:type="dcterms:W3CDTF">2023-12-19T09:14:25Z</dcterms:modified>
</cp:coreProperties>
</file>