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amusflannery/Documents/Edinburgh/Dissertation/Python/"/>
    </mc:Choice>
  </mc:AlternateContent>
  <xr:revisionPtr revIDLastSave="0" documentId="8_{411AFE05-AB67-464E-91DB-6E80DA616EB5}" xr6:coauthVersionLast="47" xr6:coauthVersionMax="47" xr10:uidLastSave="{00000000-0000-0000-0000-000000000000}"/>
  <bookViews>
    <workbookView xWindow="0" yWindow="500" windowWidth="28800" windowHeight="17500" activeTab="7" xr2:uid="{8CBAF890-0983-694E-96A7-7F50414CBE01}"/>
  </bookViews>
  <sheets>
    <sheet name="First Pywake Outputs" sheetId="1" r:id="rId1"/>
    <sheet name="Updated Pywake Outputs" sheetId="5" r:id="rId2"/>
    <sheet name="Finance Main" sheetId="8" r:id="rId3"/>
    <sheet name="Finance with Optimal CfD" sheetId="13" r:id="rId4"/>
    <sheet name="Finance with Pessimistic CfD" sheetId="14" r:id="rId5"/>
    <sheet name="Finance with 2X AEP" sheetId="11" r:id="rId6"/>
    <sheet name="Capex Calculations" sheetId="3" r:id="rId7"/>
    <sheet name="Winch Energy Cost" sheetId="15" r:id="rId8"/>
    <sheet name="Tables for Write-up" sheetId="16" r:id="rId9"/>
    <sheet name="Site Details" sheetId="9" r:id="rId10"/>
    <sheet name="Turbine Shift Measurements" sheetId="2" r:id="rId11"/>
    <sheet name="Trial Vortex Bias" sheetId="4" r:id="rId12"/>
    <sheet name="Trial NPV Summation Table" sheetId="1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15" l="1"/>
  <c r="Q15" i="15" s="1"/>
  <c r="P6" i="15"/>
  <c r="P15" i="15" s="1"/>
  <c r="O6" i="15"/>
  <c r="O15" i="15" s="1"/>
  <c r="N6" i="15"/>
  <c r="N15" i="15" s="1"/>
  <c r="M6" i="15"/>
  <c r="M15" i="15" s="1"/>
  <c r="L6" i="15"/>
  <c r="L13" i="15" s="1"/>
  <c r="L14" i="15" s="1"/>
  <c r="K6" i="15"/>
  <c r="K15" i="15" s="1"/>
  <c r="R4" i="15"/>
  <c r="R6" i="15" s="1"/>
  <c r="N4" i="15"/>
  <c r="C9" i="15"/>
  <c r="C13" i="15" s="1"/>
  <c r="C14" i="15" s="1"/>
  <c r="Q7" i="16"/>
  <c r="P7" i="16"/>
  <c r="D15" i="16"/>
  <c r="F15" i="16"/>
  <c r="D17" i="16"/>
  <c r="E17" i="16"/>
  <c r="F17" i="16"/>
  <c r="G17" i="16"/>
  <c r="H17" i="16"/>
  <c r="C17" i="16"/>
  <c r="C14" i="16"/>
  <c r="D15" i="15"/>
  <c r="E15" i="15"/>
  <c r="F15" i="15"/>
  <c r="G15" i="15"/>
  <c r="H15" i="15"/>
  <c r="H16" i="15" s="1"/>
  <c r="I15" i="15"/>
  <c r="G6" i="15"/>
  <c r="G9" i="15" s="1"/>
  <c r="H6" i="15"/>
  <c r="H9" i="15" s="1"/>
  <c r="H13" i="15" s="1"/>
  <c r="H14" i="15" s="1"/>
  <c r="I6" i="15"/>
  <c r="J4" i="15"/>
  <c r="J6" i="15" s="1"/>
  <c r="J9" i="15" s="1"/>
  <c r="J13" i="15" s="1"/>
  <c r="J14" i="15" s="1"/>
  <c r="F4" i="15"/>
  <c r="F6" i="15" s="1"/>
  <c r="D6" i="15"/>
  <c r="D9" i="15" s="1"/>
  <c r="D13" i="15" s="1"/>
  <c r="D14" i="15" s="1"/>
  <c r="D16" i="15" s="1"/>
  <c r="E6" i="15"/>
  <c r="C6" i="15"/>
  <c r="C15" i="15" s="1"/>
  <c r="C8" i="15"/>
  <c r="C37" i="3"/>
  <c r="C42" i="3" s="1"/>
  <c r="E27" i="3"/>
  <c r="F27" i="3"/>
  <c r="G27" i="3"/>
  <c r="H27" i="3"/>
  <c r="I27" i="3"/>
  <c r="J27" i="3"/>
  <c r="K27" i="3"/>
  <c r="L27" i="3"/>
  <c r="M27" i="3"/>
  <c r="N27" i="3"/>
  <c r="O27" i="3"/>
  <c r="D27" i="3"/>
  <c r="S58" i="14"/>
  <c r="R58" i="14"/>
  <c r="Q58" i="14"/>
  <c r="P58" i="14"/>
  <c r="O58" i="14"/>
  <c r="N58" i="14"/>
  <c r="S57" i="14"/>
  <c r="R57" i="14"/>
  <c r="Q57" i="14"/>
  <c r="P57" i="14"/>
  <c r="O57" i="14"/>
  <c r="N57" i="14"/>
  <c r="S56" i="14"/>
  <c r="R56" i="14"/>
  <c r="Q56" i="14"/>
  <c r="P56" i="14"/>
  <c r="O56" i="14"/>
  <c r="N56" i="14"/>
  <c r="S55" i="14"/>
  <c r="R55" i="14"/>
  <c r="Q55" i="14"/>
  <c r="P55" i="14"/>
  <c r="O55" i="14"/>
  <c r="N55" i="14"/>
  <c r="S54" i="14"/>
  <c r="R54" i="14"/>
  <c r="Q54" i="14"/>
  <c r="P54" i="14"/>
  <c r="O54" i="14"/>
  <c r="N54" i="14"/>
  <c r="AC40" i="14"/>
  <c r="AB40" i="14"/>
  <c r="AA40" i="14"/>
  <c r="AC39" i="14"/>
  <c r="AC38" i="14"/>
  <c r="C37" i="14"/>
  <c r="C36" i="14"/>
  <c r="AI35" i="14"/>
  <c r="AI34" i="14"/>
  <c r="AL33" i="14"/>
  <c r="AI32" i="14"/>
  <c r="AI36" i="14" s="1"/>
  <c r="AL31" i="14"/>
  <c r="AL35" i="14" s="1"/>
  <c r="AL37" i="14" s="1"/>
  <c r="AL40" i="14" s="1"/>
  <c r="AF29" i="14"/>
  <c r="AE29" i="14"/>
  <c r="AD29" i="14"/>
  <c r="AJ21" i="14" s="1"/>
  <c r="AC29" i="14"/>
  <c r="AI21" i="14" s="1"/>
  <c r="AB29" i="14"/>
  <c r="AH21" i="14" s="1"/>
  <c r="AA29" i="14"/>
  <c r="AG21" i="14" s="1"/>
  <c r="AL26" i="14"/>
  <c r="AK26" i="14"/>
  <c r="AJ26" i="14"/>
  <c r="AI26" i="14"/>
  <c r="AH26" i="14"/>
  <c r="AG26" i="14"/>
  <c r="AL25" i="14"/>
  <c r="AK25" i="14"/>
  <c r="AJ25" i="14"/>
  <c r="AI25" i="14"/>
  <c r="AH25" i="14"/>
  <c r="AG25" i="14"/>
  <c r="AL24" i="14"/>
  <c r="AK24" i="14"/>
  <c r="AJ24" i="14"/>
  <c r="AI24" i="14"/>
  <c r="AH24" i="14"/>
  <c r="AG24" i="14"/>
  <c r="AL23" i="14"/>
  <c r="AK23" i="14"/>
  <c r="AJ23" i="14"/>
  <c r="AI23" i="14"/>
  <c r="AH23" i="14"/>
  <c r="AG23" i="14"/>
  <c r="AL22" i="14"/>
  <c r="AK22" i="14"/>
  <c r="AJ22" i="14"/>
  <c r="AI22" i="14"/>
  <c r="AH22" i="14"/>
  <c r="AG22" i="14"/>
  <c r="AL21" i="14"/>
  <c r="AK21" i="14"/>
  <c r="AF21" i="14"/>
  <c r="AE21" i="14"/>
  <c r="AD21" i="14"/>
  <c r="AC21" i="14"/>
  <c r="AB21" i="14"/>
  <c r="AA21" i="14"/>
  <c r="AD11" i="14"/>
  <c r="R9" i="14"/>
  <c r="F9" i="14"/>
  <c r="E9" i="14"/>
  <c r="Q9" i="14" s="1"/>
  <c r="Q8" i="14"/>
  <c r="P8" i="14"/>
  <c r="O8" i="14"/>
  <c r="N8" i="14"/>
  <c r="F8" i="14"/>
  <c r="E8" i="14"/>
  <c r="M8" i="14" s="1"/>
  <c r="R7" i="14"/>
  <c r="F7" i="14"/>
  <c r="E7" i="14"/>
  <c r="Q7" i="14" s="1"/>
  <c r="Q6" i="14"/>
  <c r="P6" i="14"/>
  <c r="O6" i="14"/>
  <c r="N6" i="14"/>
  <c r="F6" i="14"/>
  <c r="E6" i="14"/>
  <c r="M6" i="14" s="1"/>
  <c r="R5" i="14"/>
  <c r="F5" i="14"/>
  <c r="E5" i="14"/>
  <c r="Q5" i="14" s="1"/>
  <c r="Q4" i="14"/>
  <c r="P4" i="14"/>
  <c r="O4" i="14"/>
  <c r="N4" i="14"/>
  <c r="F4" i="14"/>
  <c r="AL30" i="14" s="1"/>
  <c r="E4" i="14"/>
  <c r="M4" i="14" s="1"/>
  <c r="AH2" i="14"/>
  <c r="W1" i="14" a="1"/>
  <c r="W1" i="14" s="1"/>
  <c r="T8" i="14" s="1"/>
  <c r="S58" i="13"/>
  <c r="R58" i="13"/>
  <c r="Q58" i="13"/>
  <c r="P58" i="13"/>
  <c r="O58" i="13"/>
  <c r="N58" i="13"/>
  <c r="S57" i="13"/>
  <c r="R57" i="13"/>
  <c r="Q57" i="13"/>
  <c r="P57" i="13"/>
  <c r="O57" i="13"/>
  <c r="N57" i="13"/>
  <c r="S56" i="13"/>
  <c r="R56" i="13"/>
  <c r="Q56" i="13"/>
  <c r="P56" i="13"/>
  <c r="O56" i="13"/>
  <c r="N56" i="13"/>
  <c r="S55" i="13"/>
  <c r="R55" i="13"/>
  <c r="Q55" i="13"/>
  <c r="P55" i="13"/>
  <c r="O55" i="13"/>
  <c r="N55" i="13"/>
  <c r="S54" i="13"/>
  <c r="R54" i="13"/>
  <c r="Q54" i="13"/>
  <c r="P54" i="13"/>
  <c r="O54" i="13"/>
  <c r="N54" i="13"/>
  <c r="AC40" i="13"/>
  <c r="AB40" i="13"/>
  <c r="AB29" i="13" s="1"/>
  <c r="AH21" i="13" s="1"/>
  <c r="AA40" i="13"/>
  <c r="AC39" i="13"/>
  <c r="AC38" i="13"/>
  <c r="AI36" i="13"/>
  <c r="C36" i="13"/>
  <c r="C37" i="13" s="1"/>
  <c r="AL35" i="13"/>
  <c r="AL37" i="13" s="1"/>
  <c r="AL40" i="13" s="1"/>
  <c r="AI35" i="13"/>
  <c r="AI34" i="13"/>
  <c r="AL33" i="13"/>
  <c r="AI32" i="13"/>
  <c r="AL31" i="13"/>
  <c r="AL26" i="13"/>
  <c r="AK26" i="13"/>
  <c r="AJ26" i="13"/>
  <c r="AI26" i="13"/>
  <c r="AH26" i="13"/>
  <c r="AG26" i="13"/>
  <c r="AL25" i="13"/>
  <c r="AK25" i="13"/>
  <c r="AJ25" i="13"/>
  <c r="AI25" i="13"/>
  <c r="AH25" i="13"/>
  <c r="AG25" i="13"/>
  <c r="AL24" i="13"/>
  <c r="AK24" i="13"/>
  <c r="AJ24" i="13"/>
  <c r="AI24" i="13"/>
  <c r="AH24" i="13"/>
  <c r="AG24" i="13"/>
  <c r="AL23" i="13"/>
  <c r="AK23" i="13"/>
  <c r="AJ23" i="13"/>
  <c r="AI23" i="13"/>
  <c r="AH23" i="13"/>
  <c r="AG23" i="13"/>
  <c r="AL22" i="13"/>
  <c r="AK22" i="13"/>
  <c r="AJ22" i="13"/>
  <c r="AI22" i="13"/>
  <c r="AH22" i="13"/>
  <c r="AG22" i="13"/>
  <c r="AD21" i="13"/>
  <c r="AC21" i="13"/>
  <c r="AB21" i="13"/>
  <c r="AA21" i="13"/>
  <c r="AD11" i="13"/>
  <c r="F9" i="13"/>
  <c r="E9" i="13"/>
  <c r="P9" i="13" s="1"/>
  <c r="P8" i="13"/>
  <c r="O8" i="13"/>
  <c r="N8" i="13"/>
  <c r="M8" i="13"/>
  <c r="F8" i="13"/>
  <c r="E8" i="13"/>
  <c r="R8" i="13" s="1"/>
  <c r="P7" i="13"/>
  <c r="F7" i="13"/>
  <c r="E7" i="13"/>
  <c r="R7" i="13" s="1"/>
  <c r="P6" i="13"/>
  <c r="O6" i="13"/>
  <c r="N6" i="13"/>
  <c r="M6" i="13"/>
  <c r="F6" i="13"/>
  <c r="E6" i="13"/>
  <c r="R6" i="13" s="1"/>
  <c r="F5" i="13"/>
  <c r="E5" i="13"/>
  <c r="P4" i="13"/>
  <c r="F4" i="13"/>
  <c r="AL30" i="13" s="1"/>
  <c r="E4" i="13"/>
  <c r="AH2" i="13"/>
  <c r="W1" i="13" a="1"/>
  <c r="W1" i="13" s="1"/>
  <c r="T5" i="13" s="1"/>
  <c r="S4" i="11"/>
  <c r="S5" i="11"/>
  <c r="S6" i="11"/>
  <c r="S7" i="11"/>
  <c r="S8" i="11"/>
  <c r="S9" i="11"/>
  <c r="E36" i="3"/>
  <c r="E38" i="3" s="1"/>
  <c r="F36" i="3"/>
  <c r="F38" i="3" s="1"/>
  <c r="G36" i="3"/>
  <c r="G38" i="3" s="1"/>
  <c r="H36" i="3"/>
  <c r="H38" i="3" s="1"/>
  <c r="I36" i="3"/>
  <c r="I38" i="3" s="1"/>
  <c r="J36" i="3"/>
  <c r="J38" i="3" s="1"/>
  <c r="K36" i="3"/>
  <c r="K38" i="3" s="1"/>
  <c r="L36" i="3"/>
  <c r="L38" i="3" s="1"/>
  <c r="M36" i="3"/>
  <c r="M38" i="3" s="1"/>
  <c r="N36" i="3"/>
  <c r="N38" i="3" s="1"/>
  <c r="O36" i="3"/>
  <c r="O38" i="3" s="1"/>
  <c r="D36" i="3"/>
  <c r="D38" i="3" s="1"/>
  <c r="E40" i="3"/>
  <c r="F40" i="3"/>
  <c r="G40" i="3"/>
  <c r="H40" i="3"/>
  <c r="J40" i="3"/>
  <c r="K40" i="3"/>
  <c r="L40" i="3"/>
  <c r="M40" i="3"/>
  <c r="N40" i="3"/>
  <c r="D40" i="3"/>
  <c r="E18" i="3"/>
  <c r="F18" i="3"/>
  <c r="G18" i="3"/>
  <c r="H18" i="3"/>
  <c r="I18" i="3"/>
  <c r="J18" i="3"/>
  <c r="K18" i="3"/>
  <c r="L18" i="3"/>
  <c r="M18" i="3"/>
  <c r="N18" i="3"/>
  <c r="O18" i="3"/>
  <c r="E19" i="3"/>
  <c r="F19" i="3"/>
  <c r="G19" i="3"/>
  <c r="H19" i="3"/>
  <c r="I19" i="3"/>
  <c r="J19" i="3"/>
  <c r="K19" i="3"/>
  <c r="L19" i="3"/>
  <c r="M19" i="3"/>
  <c r="N19" i="3"/>
  <c r="O19" i="3"/>
  <c r="D18" i="3"/>
  <c r="D19" i="3"/>
  <c r="D16" i="3"/>
  <c r="D17" i="3" s="1"/>
  <c r="E16" i="3"/>
  <c r="E17" i="3" s="1"/>
  <c r="F16" i="3"/>
  <c r="F17" i="3" s="1"/>
  <c r="G16" i="3"/>
  <c r="G17" i="3" s="1"/>
  <c r="H16" i="3"/>
  <c r="H17" i="3" s="1"/>
  <c r="I16" i="3"/>
  <c r="I17" i="3" s="1"/>
  <c r="J16" i="3"/>
  <c r="J17" i="3" s="1"/>
  <c r="K16" i="3"/>
  <c r="K17" i="3" s="1"/>
  <c r="L16" i="3"/>
  <c r="L17" i="3" s="1"/>
  <c r="M16" i="3"/>
  <c r="M17" i="3" s="1"/>
  <c r="N16" i="3"/>
  <c r="N17" i="3" s="1"/>
  <c r="O16" i="3"/>
  <c r="O17" i="3" s="1"/>
  <c r="O13" i="3"/>
  <c r="O40" i="3" s="1"/>
  <c r="I13" i="3"/>
  <c r="I40" i="3" s="1"/>
  <c r="C4" i="3"/>
  <c r="D6" i="3" s="1"/>
  <c r="O4" i="16" s="1"/>
  <c r="AL35" i="8"/>
  <c r="AL34" i="8"/>
  <c r="AL33" i="8"/>
  <c r="AL32" i="8"/>
  <c r="AL36" i="8" s="1"/>
  <c r="AL31" i="8"/>
  <c r="AL30" i="8"/>
  <c r="AI34" i="8"/>
  <c r="AI35" i="8"/>
  <c r="AL37" i="8" s="1"/>
  <c r="AL40" i="8" s="1"/>
  <c r="AI32" i="8"/>
  <c r="AI36" i="8" s="1"/>
  <c r="C16" i="15" l="1"/>
  <c r="K13" i="15"/>
  <c r="K14" i="15" s="1"/>
  <c r="K16" i="15" s="1"/>
  <c r="K17" i="15" s="1"/>
  <c r="I16" i="15"/>
  <c r="J15" i="15"/>
  <c r="J16" i="15" s="1"/>
  <c r="J17" i="15" s="1"/>
  <c r="R15" i="15"/>
  <c r="R13" i="15"/>
  <c r="R14" i="15" s="1"/>
  <c r="R16" i="15" s="1"/>
  <c r="R17" i="15" s="1"/>
  <c r="L15" i="15"/>
  <c r="L16" i="15" s="1"/>
  <c r="L17" i="15" s="1"/>
  <c r="M13" i="15"/>
  <c r="M14" i="15" s="1"/>
  <c r="M16" i="15" s="1"/>
  <c r="M17" i="15" s="1"/>
  <c r="N13" i="15"/>
  <c r="N14" i="15" s="1"/>
  <c r="N16" i="15" s="1"/>
  <c r="N17" i="15" s="1"/>
  <c r="O13" i="15"/>
  <c r="O14" i="15" s="1"/>
  <c r="O16" i="15" s="1"/>
  <c r="O17" i="15" s="1"/>
  <c r="P13" i="15"/>
  <c r="P14" i="15" s="1"/>
  <c r="P16" i="15" s="1"/>
  <c r="P17" i="15" s="1"/>
  <c r="Q13" i="15"/>
  <c r="Q14" i="15" s="1"/>
  <c r="Q16" i="15" s="1"/>
  <c r="Q17" i="15" s="1"/>
  <c r="N4" i="16"/>
  <c r="Q4" i="16"/>
  <c r="P4" i="16"/>
  <c r="I9" i="15"/>
  <c r="I13" i="15" s="1"/>
  <c r="I14" i="15" s="1"/>
  <c r="G13" i="15"/>
  <c r="G14" i="15" s="1"/>
  <c r="D17" i="15"/>
  <c r="F9" i="15"/>
  <c r="F13" i="15" s="1"/>
  <c r="F14" i="15" s="1"/>
  <c r="F16" i="15" s="1"/>
  <c r="E9" i="15"/>
  <c r="E13" i="15" s="1"/>
  <c r="E14" i="15" s="1"/>
  <c r="I17" i="15"/>
  <c r="H17" i="15"/>
  <c r="D41" i="3"/>
  <c r="D42" i="3" s="1"/>
  <c r="D43" i="3" s="1"/>
  <c r="D44" i="3" s="1"/>
  <c r="D45" i="3" s="1"/>
  <c r="N7" i="16" s="1"/>
  <c r="K41" i="3"/>
  <c r="K42" i="3" s="1"/>
  <c r="K43" i="3" s="1"/>
  <c r="K44" i="3" s="1"/>
  <c r="K45" i="3" s="1"/>
  <c r="L20" i="3"/>
  <c r="L21" i="3" s="1"/>
  <c r="O41" i="3"/>
  <c r="O42" i="3" s="1"/>
  <c r="O43" i="3" s="1"/>
  <c r="O44" i="3" s="1"/>
  <c r="O45" i="3" s="1"/>
  <c r="G41" i="3"/>
  <c r="G42" i="3" s="1"/>
  <c r="G43" i="3" s="1"/>
  <c r="G44" i="3" s="1"/>
  <c r="G45" i="3" s="1"/>
  <c r="M41" i="3"/>
  <c r="M42" i="3" s="1"/>
  <c r="M43" i="3" s="1"/>
  <c r="M44" i="3" s="1"/>
  <c r="M45" i="3" s="1"/>
  <c r="E41" i="3"/>
  <c r="E42" i="3" s="1"/>
  <c r="E43" i="3" s="1"/>
  <c r="E44" i="3" s="1"/>
  <c r="E45" i="3" s="1"/>
  <c r="F41" i="3"/>
  <c r="F42" i="3" s="1"/>
  <c r="F43" i="3" s="1"/>
  <c r="F44" i="3" s="1"/>
  <c r="F45" i="3" s="1"/>
  <c r="O7" i="16" s="1"/>
  <c r="I41" i="3"/>
  <c r="I42" i="3" s="1"/>
  <c r="I43" i="3" s="1"/>
  <c r="I44" i="3" s="1"/>
  <c r="I45" i="3" s="1"/>
  <c r="H41" i="3"/>
  <c r="H42" i="3" s="1"/>
  <c r="H43" i="3" s="1"/>
  <c r="H44" i="3" s="1"/>
  <c r="H45" i="3" s="1"/>
  <c r="L41" i="3"/>
  <c r="L42" i="3" s="1"/>
  <c r="L43" i="3" s="1"/>
  <c r="L44" i="3" s="1"/>
  <c r="L45" i="3" s="1"/>
  <c r="N41" i="3"/>
  <c r="N42" i="3" s="1"/>
  <c r="N43" i="3" s="1"/>
  <c r="N44" i="3" s="1"/>
  <c r="N45" i="3" s="1"/>
  <c r="J41" i="3"/>
  <c r="J42" i="3" s="1"/>
  <c r="J43" i="3" s="1"/>
  <c r="J44" i="3" s="1"/>
  <c r="J45" i="3" s="1"/>
  <c r="E20" i="3"/>
  <c r="E21" i="3" s="1"/>
  <c r="X8" i="14"/>
  <c r="AD8" i="14" s="1"/>
  <c r="Y8" i="14"/>
  <c r="AK17" i="14" s="1"/>
  <c r="T6" i="14"/>
  <c r="W6" i="14" s="1"/>
  <c r="T9" i="14"/>
  <c r="Y9" i="14" s="1"/>
  <c r="W8" i="14"/>
  <c r="AI17" i="14" s="1"/>
  <c r="T5" i="14"/>
  <c r="Y5" i="14" s="1"/>
  <c r="T7" i="14"/>
  <c r="Y7" i="14" s="1"/>
  <c r="T7" i="13"/>
  <c r="Z7" i="13" s="1"/>
  <c r="V8" i="14"/>
  <c r="AH17" i="14" s="1"/>
  <c r="T4" i="13"/>
  <c r="X4" i="13" s="1"/>
  <c r="AL34" i="14"/>
  <c r="AL32" i="14"/>
  <c r="AL36" i="14" s="1"/>
  <c r="T4" i="14"/>
  <c r="V4" i="14" s="1"/>
  <c r="U8" i="14"/>
  <c r="R4" i="14"/>
  <c r="N5" i="14"/>
  <c r="R6" i="14"/>
  <c r="N7" i="14"/>
  <c r="R8" i="14"/>
  <c r="Z8" i="14" s="1"/>
  <c r="N9" i="14"/>
  <c r="O5" i="14"/>
  <c r="O7" i="14"/>
  <c r="O9" i="14"/>
  <c r="M5" i="14"/>
  <c r="M7" i="14"/>
  <c r="M9" i="14"/>
  <c r="P5" i="14"/>
  <c r="P7" i="14"/>
  <c r="P9" i="14"/>
  <c r="AL34" i="13"/>
  <c r="AL32" i="13"/>
  <c r="AL36" i="13" s="1"/>
  <c r="T6" i="13"/>
  <c r="Z6" i="13" s="1"/>
  <c r="Q7" i="13"/>
  <c r="N5" i="13"/>
  <c r="V5" i="13" s="1"/>
  <c r="M5" i="13"/>
  <c r="U5" i="13" s="1"/>
  <c r="AF29" i="13"/>
  <c r="AL21" i="13" s="1"/>
  <c r="AE29" i="13"/>
  <c r="AK21" i="13" s="1"/>
  <c r="AD29" i="13"/>
  <c r="AJ21" i="13" s="1"/>
  <c r="AC29" i="13"/>
  <c r="AI21" i="13" s="1"/>
  <c r="R4" i="13"/>
  <c r="Q4" i="13"/>
  <c r="Q9" i="13"/>
  <c r="AA29" i="13"/>
  <c r="AG21" i="13" s="1"/>
  <c r="P5" i="13"/>
  <c r="X5" i="13" s="1"/>
  <c r="AJ14" i="13" s="1"/>
  <c r="Q5" i="13"/>
  <c r="Y5" i="13" s="1"/>
  <c r="AK14" i="13" s="1"/>
  <c r="N4" i="13"/>
  <c r="R5" i="13"/>
  <c r="Z5" i="13" s="1"/>
  <c r="AL14" i="13" s="1"/>
  <c r="T8" i="13"/>
  <c r="W8" i="13" s="1"/>
  <c r="T9" i="13"/>
  <c r="X9" i="13" s="1"/>
  <c r="O9" i="13"/>
  <c r="N9" i="13"/>
  <c r="M9" i="13"/>
  <c r="O5" i="13"/>
  <c r="W5" i="13" s="1"/>
  <c r="M4" i="13"/>
  <c r="R9" i="13"/>
  <c r="O4" i="13"/>
  <c r="O7" i="13"/>
  <c r="N7" i="13"/>
  <c r="M7" i="13"/>
  <c r="AF21" i="13"/>
  <c r="AE21" i="13"/>
  <c r="Q6" i="13"/>
  <c r="Q8" i="13"/>
  <c r="J20" i="3"/>
  <c r="I20" i="3"/>
  <c r="I21" i="3" s="1"/>
  <c r="F20" i="3"/>
  <c r="F21" i="3" s="1"/>
  <c r="D20" i="3"/>
  <c r="D22" i="3" s="1"/>
  <c r="O20" i="3"/>
  <c r="O22" i="3" s="1"/>
  <c r="G20" i="3"/>
  <c r="G21" i="3" s="1"/>
  <c r="N20" i="3"/>
  <c r="N22" i="3" s="1"/>
  <c r="N23" i="3" s="1"/>
  <c r="M20" i="3"/>
  <c r="M21" i="3" s="1"/>
  <c r="H20" i="3"/>
  <c r="H22" i="3" s="1"/>
  <c r="K20" i="3"/>
  <c r="D5" i="3"/>
  <c r="AG21" i="8"/>
  <c r="K11" i="1"/>
  <c r="L11" i="1"/>
  <c r="M11" i="1"/>
  <c r="N11" i="1"/>
  <c r="O11" i="1"/>
  <c r="P11" i="1"/>
  <c r="K12" i="1"/>
  <c r="L12" i="1"/>
  <c r="M12" i="1"/>
  <c r="N12" i="1"/>
  <c r="O12" i="1"/>
  <c r="P12" i="1"/>
  <c r="K13" i="1"/>
  <c r="L13" i="1"/>
  <c r="N13" i="1"/>
  <c r="K14" i="1"/>
  <c r="L14" i="1"/>
  <c r="M14" i="1"/>
  <c r="N14" i="1"/>
  <c r="O14" i="1"/>
  <c r="P14" i="1"/>
  <c r="K15" i="1"/>
  <c r="L15" i="1"/>
  <c r="M15" i="1"/>
  <c r="N15" i="1"/>
  <c r="O15" i="1"/>
  <c r="P15" i="1"/>
  <c r="L10" i="1"/>
  <c r="M10" i="1"/>
  <c r="N10" i="1"/>
  <c r="O10" i="1"/>
  <c r="P10" i="1"/>
  <c r="K10" i="1"/>
  <c r="P6" i="1"/>
  <c r="P13" i="1" s="1"/>
  <c r="O6" i="1"/>
  <c r="O13" i="1" s="1"/>
  <c r="N6" i="1"/>
  <c r="M6" i="1"/>
  <c r="M13" i="1" s="1"/>
  <c r="L6" i="1"/>
  <c r="K6" i="1"/>
  <c r="AB29" i="8"/>
  <c r="AC29" i="8"/>
  <c r="AD29" i="8"/>
  <c r="AE29" i="8"/>
  <c r="AK21" i="8" s="1"/>
  <c r="AF29" i="8"/>
  <c r="AB21" i="8"/>
  <c r="AC21" i="8"/>
  <c r="AD21" i="8"/>
  <c r="AE21" i="8"/>
  <c r="AF21" i="8"/>
  <c r="AA21" i="8"/>
  <c r="AA29" i="8"/>
  <c r="AB40" i="8"/>
  <c r="AA40" i="8"/>
  <c r="AC40" i="8"/>
  <c r="AC39" i="8"/>
  <c r="AC38" i="8"/>
  <c r="S54" i="8"/>
  <c r="S55" i="8"/>
  <c r="S56" i="8"/>
  <c r="S57" i="8"/>
  <c r="S58" i="8"/>
  <c r="O54" i="8"/>
  <c r="P54" i="8"/>
  <c r="Q54" i="8"/>
  <c r="R54" i="8"/>
  <c r="O55" i="8"/>
  <c r="P55" i="8"/>
  <c r="Q55" i="8"/>
  <c r="R55" i="8"/>
  <c r="O56" i="8"/>
  <c r="P56" i="8"/>
  <c r="Q56" i="8"/>
  <c r="R56" i="8"/>
  <c r="O57" i="8"/>
  <c r="P57" i="8"/>
  <c r="Q57" i="8"/>
  <c r="R57" i="8"/>
  <c r="O58" i="8"/>
  <c r="P58" i="8"/>
  <c r="Q58" i="8"/>
  <c r="R58" i="8"/>
  <c r="N55" i="8"/>
  <c r="N56" i="8"/>
  <c r="N57" i="8"/>
  <c r="N58" i="8"/>
  <c r="N54" i="8"/>
  <c r="AK26" i="8"/>
  <c r="AL26" i="8"/>
  <c r="AG26" i="8"/>
  <c r="H4" i="11"/>
  <c r="N4" i="11" s="1"/>
  <c r="I4" i="11"/>
  <c r="O4" i="11" s="1"/>
  <c r="J4" i="11"/>
  <c r="K4" i="11"/>
  <c r="Q4" i="11" s="1"/>
  <c r="L4" i="11"/>
  <c r="R4" i="11" s="1"/>
  <c r="H5" i="11"/>
  <c r="I5" i="11"/>
  <c r="J5" i="11"/>
  <c r="K5" i="11"/>
  <c r="L5" i="11"/>
  <c r="R5" i="11" s="1"/>
  <c r="H6" i="11"/>
  <c r="I6" i="11"/>
  <c r="O6" i="11" s="1"/>
  <c r="J6" i="11"/>
  <c r="P6" i="11" s="1"/>
  <c r="K6" i="11"/>
  <c r="Q6" i="11" s="1"/>
  <c r="L6" i="11"/>
  <c r="R6" i="11" s="1"/>
  <c r="H7" i="11"/>
  <c r="I7" i="11"/>
  <c r="J7" i="11"/>
  <c r="K7" i="11"/>
  <c r="L7" i="11"/>
  <c r="H8" i="11"/>
  <c r="N8" i="11" s="1"/>
  <c r="I8" i="11"/>
  <c r="O8" i="11" s="1"/>
  <c r="J8" i="11"/>
  <c r="P8" i="11" s="1"/>
  <c r="K8" i="11"/>
  <c r="Q8" i="11" s="1"/>
  <c r="L8" i="11"/>
  <c r="R8" i="11" s="1"/>
  <c r="H9" i="11"/>
  <c r="I9" i="11"/>
  <c r="J9" i="11"/>
  <c r="K9" i="11"/>
  <c r="L9" i="11"/>
  <c r="R9" i="11" s="1"/>
  <c r="G5" i="11"/>
  <c r="G6" i="11"/>
  <c r="G7" i="11"/>
  <c r="G8" i="11"/>
  <c r="G9" i="11"/>
  <c r="G4" i="11"/>
  <c r="C36" i="11"/>
  <c r="C37" i="11" s="1"/>
  <c r="AL26" i="11"/>
  <c r="AK26" i="11"/>
  <c r="AJ26" i="11"/>
  <c r="AI26" i="11"/>
  <c r="AH26" i="11"/>
  <c r="AG26" i="11"/>
  <c r="AL25" i="11"/>
  <c r="AK25" i="11"/>
  <c r="AJ25" i="11"/>
  <c r="AI25" i="11"/>
  <c r="AH25" i="11"/>
  <c r="AG25" i="11"/>
  <c r="AL24" i="11"/>
  <c r="AK24" i="11"/>
  <c r="AJ24" i="11"/>
  <c r="AI24" i="11"/>
  <c r="AH24" i="11"/>
  <c r="AG24" i="11"/>
  <c r="AL23" i="11"/>
  <c r="AK23" i="11"/>
  <c r="AJ23" i="11"/>
  <c r="AI23" i="11"/>
  <c r="AH23" i="11"/>
  <c r="AG23" i="11"/>
  <c r="AL22" i="11"/>
  <c r="AK22" i="11"/>
  <c r="AJ22" i="11"/>
  <c r="AI22" i="11"/>
  <c r="AH22" i="11"/>
  <c r="AG22" i="11"/>
  <c r="AL21" i="11"/>
  <c r="AK21" i="11"/>
  <c r="AJ21" i="11"/>
  <c r="AI21" i="11"/>
  <c r="AH21" i="11"/>
  <c r="AG21" i="11"/>
  <c r="AD11" i="11"/>
  <c r="F9" i="11"/>
  <c r="E9" i="11"/>
  <c r="F8" i="11"/>
  <c r="E8" i="11"/>
  <c r="F7" i="11"/>
  <c r="E7" i="11"/>
  <c r="N6" i="11"/>
  <c r="F6" i="11"/>
  <c r="E6" i="11"/>
  <c r="F5" i="11"/>
  <c r="E5" i="11"/>
  <c r="P4" i="11"/>
  <c r="F4" i="11"/>
  <c r="E4" i="11"/>
  <c r="AH2" i="11"/>
  <c r="W1" i="11" a="1"/>
  <c r="W1" i="11" s="1"/>
  <c r="T9" i="11" s="1"/>
  <c r="B4" i="10"/>
  <c r="B6" i="10"/>
  <c r="AH21" i="8"/>
  <c r="AI21" i="8"/>
  <c r="AJ21" i="8"/>
  <c r="AH22" i="8"/>
  <c r="AI22" i="8"/>
  <c r="AJ22" i="8"/>
  <c r="AK22" i="8"/>
  <c r="AL22" i="8"/>
  <c r="AH23" i="8"/>
  <c r="AI23" i="8"/>
  <c r="AJ23" i="8"/>
  <c r="AK23" i="8"/>
  <c r="AL23" i="8"/>
  <c r="AH24" i="8"/>
  <c r="AI24" i="8"/>
  <c r="AJ24" i="8"/>
  <c r="AK24" i="8"/>
  <c r="AL24" i="8"/>
  <c r="AH25" i="8"/>
  <c r="AI25" i="8"/>
  <c r="AJ25" i="8"/>
  <c r="AK25" i="8"/>
  <c r="AL25" i="8"/>
  <c r="AH26" i="8"/>
  <c r="AI26" i="8"/>
  <c r="AJ26" i="8"/>
  <c r="AG22" i="8"/>
  <c r="AG23" i="8"/>
  <c r="AG24" i="8"/>
  <c r="AG25" i="8"/>
  <c r="B5" i="10"/>
  <c r="AH2" i="8"/>
  <c r="AD11" i="8"/>
  <c r="E5" i="8"/>
  <c r="N5" i="8" s="1"/>
  <c r="E6" i="8"/>
  <c r="O6" i="8" s="1"/>
  <c r="E7" i="8"/>
  <c r="E8" i="8"/>
  <c r="E9" i="8"/>
  <c r="E4" i="8"/>
  <c r="M4" i="8" s="1"/>
  <c r="F5" i="8"/>
  <c r="F6" i="8"/>
  <c r="F7" i="8"/>
  <c r="F8" i="8"/>
  <c r="F9" i="8"/>
  <c r="F4" i="8"/>
  <c r="C36" i="8"/>
  <c r="C37" i="8" s="1"/>
  <c r="W1" i="8" a="1"/>
  <c r="W1" i="8" s="1"/>
  <c r="T4" i="8" s="1"/>
  <c r="S4" i="8"/>
  <c r="S5" i="8"/>
  <c r="S6" i="8"/>
  <c r="S7" i="8"/>
  <c r="S8" i="8"/>
  <c r="S9" i="8"/>
  <c r="R9" i="8"/>
  <c r="Q8" i="8"/>
  <c r="P7" i="8"/>
  <c r="E16" i="15" l="1"/>
  <c r="E17" i="15" s="1"/>
  <c r="G16" i="15"/>
  <c r="G17" i="15" s="1"/>
  <c r="C17" i="15"/>
  <c r="D8" i="3" s="1"/>
  <c r="F17" i="15"/>
  <c r="C8" i="3" s="1"/>
  <c r="H21" i="3"/>
  <c r="L22" i="3"/>
  <c r="L24" i="3" s="1"/>
  <c r="L26" i="3" s="1"/>
  <c r="AJ17" i="14"/>
  <c r="U4" i="13"/>
  <c r="AA13" i="13" s="1"/>
  <c r="E22" i="3"/>
  <c r="E23" i="3" s="1"/>
  <c r="I22" i="3"/>
  <c r="I23" i="3" s="1"/>
  <c r="O21" i="3"/>
  <c r="D21" i="3"/>
  <c r="AH8" i="14"/>
  <c r="AB8" i="14"/>
  <c r="Z6" i="14"/>
  <c r="AF6" i="14" s="1"/>
  <c r="AE8" i="14"/>
  <c r="AE17" i="14"/>
  <c r="AK8" i="14"/>
  <c r="AJ8" i="14"/>
  <c r="AB17" i="14"/>
  <c r="AD17" i="14"/>
  <c r="V6" i="14"/>
  <c r="AH15" i="14" s="1"/>
  <c r="X7" i="13"/>
  <c r="AJ16" i="13" s="1"/>
  <c r="U7" i="13"/>
  <c r="AG16" i="13" s="1"/>
  <c r="V7" i="13"/>
  <c r="AB16" i="13" s="1"/>
  <c r="W7" i="13"/>
  <c r="AI16" i="13" s="1"/>
  <c r="Y7" i="13"/>
  <c r="AK16" i="13" s="1"/>
  <c r="U6" i="14"/>
  <c r="AA15" i="14" s="1"/>
  <c r="U7" i="14"/>
  <c r="AG16" i="14" s="1"/>
  <c r="Y6" i="14"/>
  <c r="AK6" i="14" s="1"/>
  <c r="Z9" i="14"/>
  <c r="AF9" i="14" s="1"/>
  <c r="V7" i="14"/>
  <c r="AH7" i="14" s="1"/>
  <c r="X9" i="14"/>
  <c r="AD18" i="14" s="1"/>
  <c r="W5" i="14"/>
  <c r="AC5" i="14" s="1"/>
  <c r="X6" i="14"/>
  <c r="AD15" i="14" s="1"/>
  <c r="W7" i="14"/>
  <c r="AI16" i="14" s="1"/>
  <c r="X7" i="14"/>
  <c r="AD16" i="14" s="1"/>
  <c r="V9" i="14"/>
  <c r="AH18" i="14" s="1"/>
  <c r="AE16" i="14"/>
  <c r="AK16" i="14"/>
  <c r="AE7" i="14"/>
  <c r="AK7" i="14"/>
  <c r="AL7" i="13"/>
  <c r="AL16" i="13"/>
  <c r="V4" i="13"/>
  <c r="AH13" i="13" s="1"/>
  <c r="AJ13" i="13"/>
  <c r="Z7" i="14"/>
  <c r="AL16" i="14" s="1"/>
  <c r="AI8" i="14"/>
  <c r="W4" i="14"/>
  <c r="AI13" i="14" s="1"/>
  <c r="Z5" i="14"/>
  <c r="X5" i="14"/>
  <c r="AD5" i="14" s="1"/>
  <c r="AC17" i="14"/>
  <c r="U9" i="14"/>
  <c r="AA9" i="14" s="1"/>
  <c r="Y4" i="14"/>
  <c r="AK4" i="14" s="1"/>
  <c r="AC8" i="14"/>
  <c r="X4" i="14"/>
  <c r="AD13" i="14" s="1"/>
  <c r="AF16" i="13"/>
  <c r="U4" i="14"/>
  <c r="AG4" i="14" s="1"/>
  <c r="Y4" i="13"/>
  <c r="AK4" i="13" s="1"/>
  <c r="AF7" i="13"/>
  <c r="U5" i="14"/>
  <c r="AG5" i="14" s="1"/>
  <c r="V5" i="14"/>
  <c r="AH14" i="14" s="1"/>
  <c r="W4" i="13"/>
  <c r="AI13" i="13" s="1"/>
  <c r="Z4" i="13"/>
  <c r="AL4" i="13" s="1"/>
  <c r="W9" i="14"/>
  <c r="AC9" i="14" s="1"/>
  <c r="W9" i="13"/>
  <c r="AC18" i="13" s="1"/>
  <c r="AB13" i="14"/>
  <c r="AB4" i="14"/>
  <c r="AH4" i="14"/>
  <c r="AH13" i="14"/>
  <c r="AE18" i="14"/>
  <c r="AE9" i="14"/>
  <c r="AK9" i="14"/>
  <c r="AK18" i="14"/>
  <c r="AA17" i="14"/>
  <c r="AA8" i="14"/>
  <c r="AG17" i="14"/>
  <c r="AG8" i="14"/>
  <c r="AC6" i="14"/>
  <c r="AC15" i="14"/>
  <c r="AI6" i="14"/>
  <c r="Z4" i="14"/>
  <c r="AE14" i="14"/>
  <c r="AE5" i="14"/>
  <c r="AK14" i="14"/>
  <c r="AK5" i="14"/>
  <c r="AF8" i="14"/>
  <c r="AL8" i="14"/>
  <c r="AL17" i="14"/>
  <c r="AF17" i="14"/>
  <c r="AI15" i="14"/>
  <c r="AF15" i="13"/>
  <c r="AL6" i="13"/>
  <c r="AF6" i="13"/>
  <c r="AL15" i="13"/>
  <c r="AD18" i="13"/>
  <c r="AD9" i="13"/>
  <c r="AJ9" i="13"/>
  <c r="AJ18" i="13"/>
  <c r="Y9" i="13"/>
  <c r="Z9" i="13"/>
  <c r="W6" i="13"/>
  <c r="AA14" i="13"/>
  <c r="AG5" i="13"/>
  <c r="AA5" i="13"/>
  <c r="AG14" i="13"/>
  <c r="U8" i="13"/>
  <c r="Y8" i="13"/>
  <c r="AC14" i="13"/>
  <c r="AC5" i="13"/>
  <c r="AI14" i="13"/>
  <c r="AI5" i="13"/>
  <c r="AB14" i="13"/>
  <c r="AB5" i="13"/>
  <c r="AH5" i="13"/>
  <c r="AH14" i="13"/>
  <c r="AD13" i="13"/>
  <c r="V6" i="13"/>
  <c r="U6" i="13"/>
  <c r="X8" i="13"/>
  <c r="Y6" i="13"/>
  <c r="AE5" i="13"/>
  <c r="AK5" i="13"/>
  <c r="AE14" i="13"/>
  <c r="AD4" i="13"/>
  <c r="AI8" i="13"/>
  <c r="AC17" i="13"/>
  <c r="AC8" i="13"/>
  <c r="V8" i="13"/>
  <c r="AL5" i="13"/>
  <c r="AF5" i="13"/>
  <c r="AF14" i="13"/>
  <c r="U9" i="13"/>
  <c r="AD14" i="13"/>
  <c r="AD5" i="13"/>
  <c r="AJ5" i="13"/>
  <c r="AJ4" i="13"/>
  <c r="X6" i="13"/>
  <c r="Z8" i="13"/>
  <c r="V9" i="13"/>
  <c r="AI17" i="13"/>
  <c r="J22" i="3"/>
  <c r="J21" i="3"/>
  <c r="F22" i="3"/>
  <c r="F24" i="3" s="1"/>
  <c r="F26" i="3" s="1"/>
  <c r="D24" i="3"/>
  <c r="D26" i="3" s="1"/>
  <c r="D23" i="3"/>
  <c r="N21" i="3"/>
  <c r="G22" i="3"/>
  <c r="G24" i="3" s="1"/>
  <c r="G26" i="3" s="1"/>
  <c r="M22" i="3"/>
  <c r="M24" i="3" s="1"/>
  <c r="M26" i="3" s="1"/>
  <c r="N24" i="3"/>
  <c r="N26" i="3" s="1"/>
  <c r="K22" i="3"/>
  <c r="K21" i="3"/>
  <c r="L23" i="3"/>
  <c r="O23" i="3"/>
  <c r="O24" i="3"/>
  <c r="O26" i="3" s="1"/>
  <c r="H24" i="3"/>
  <c r="H26" i="3" s="1"/>
  <c r="H23" i="3"/>
  <c r="M8" i="11"/>
  <c r="M6" i="11"/>
  <c r="AL21" i="8"/>
  <c r="Z9" i="11"/>
  <c r="AF9" i="11" s="1"/>
  <c r="T5" i="11"/>
  <c r="Z5" i="11" s="1"/>
  <c r="M4" i="11"/>
  <c r="T7" i="11"/>
  <c r="Q7" i="11"/>
  <c r="P7" i="11"/>
  <c r="O7" i="11"/>
  <c r="N7" i="11"/>
  <c r="M7" i="11"/>
  <c r="T4" i="11"/>
  <c r="W4" i="11" s="1"/>
  <c r="T6" i="11"/>
  <c r="X6" i="11" s="1"/>
  <c r="R7" i="11"/>
  <c r="T8" i="11"/>
  <c r="V8" i="11" s="1"/>
  <c r="Q9" i="11"/>
  <c r="Y9" i="11" s="1"/>
  <c r="P9" i="11"/>
  <c r="X9" i="11" s="1"/>
  <c r="O9" i="11"/>
  <c r="W9" i="11" s="1"/>
  <c r="N9" i="11"/>
  <c r="V9" i="11" s="1"/>
  <c r="M9" i="11"/>
  <c r="U9" i="11" s="1"/>
  <c r="Q5" i="11"/>
  <c r="P5" i="11"/>
  <c r="O5" i="11"/>
  <c r="M5" i="11"/>
  <c r="N5" i="11"/>
  <c r="U4" i="8"/>
  <c r="T9" i="8"/>
  <c r="T8" i="8"/>
  <c r="T7" i="8"/>
  <c r="T6" i="8"/>
  <c r="T5" i="8"/>
  <c r="R8" i="8"/>
  <c r="R7" i="8"/>
  <c r="Q4" i="8"/>
  <c r="Y4" i="8" s="1"/>
  <c r="AE4" i="8" s="1"/>
  <c r="R5" i="8"/>
  <c r="N4" i="8"/>
  <c r="V4" i="8" s="1"/>
  <c r="AB4" i="8" s="1"/>
  <c r="O5" i="8"/>
  <c r="P6" i="8"/>
  <c r="Q7" i="8"/>
  <c r="O4" i="8"/>
  <c r="W4" i="8" s="1"/>
  <c r="AC4" i="8" s="1"/>
  <c r="P5" i="8"/>
  <c r="Q6" i="8"/>
  <c r="P4" i="8"/>
  <c r="X4" i="8" s="1"/>
  <c r="AD4" i="8" s="1"/>
  <c r="Q5" i="8"/>
  <c r="R6" i="8"/>
  <c r="M9" i="8"/>
  <c r="N9" i="8"/>
  <c r="M7" i="8"/>
  <c r="N8" i="8"/>
  <c r="O9" i="8"/>
  <c r="M6" i="8"/>
  <c r="N7" i="8"/>
  <c r="O8" i="8"/>
  <c r="P9" i="8"/>
  <c r="M5" i="8"/>
  <c r="N6" i="8"/>
  <c r="O7" i="8"/>
  <c r="P8" i="8"/>
  <c r="Q9" i="8"/>
  <c r="M8" i="8"/>
  <c r="R4" i="8"/>
  <c r="Z4" i="8" s="1"/>
  <c r="AF4" i="8" s="1"/>
  <c r="O5" i="16" l="1"/>
  <c r="O8" i="16" s="1"/>
  <c r="P5" i="16"/>
  <c r="P8" i="16" s="1"/>
  <c r="Q5" i="16"/>
  <c r="Q8" i="16" s="1"/>
  <c r="N5" i="16"/>
  <c r="C7" i="16"/>
  <c r="AA4" i="8"/>
  <c r="C18" i="16" s="1"/>
  <c r="AK13" i="8"/>
  <c r="G7" i="16"/>
  <c r="AI13" i="8"/>
  <c r="E7" i="16"/>
  <c r="AJ13" i="8"/>
  <c r="F7" i="16"/>
  <c r="AH13" i="8"/>
  <c r="D7" i="16"/>
  <c r="AL13" i="8"/>
  <c r="H7" i="16"/>
  <c r="AA4" i="13"/>
  <c r="AG4" i="13"/>
  <c r="AG13" i="13"/>
  <c r="AF15" i="14"/>
  <c r="AL6" i="14"/>
  <c r="AF18" i="14"/>
  <c r="AK13" i="13"/>
  <c r="AD7" i="13"/>
  <c r="AB15" i="14"/>
  <c r="AJ7" i="13"/>
  <c r="E24" i="3"/>
  <c r="E26" i="3" s="1"/>
  <c r="E28" i="3" s="1"/>
  <c r="E30" i="3" s="1"/>
  <c r="E32" i="3" s="1"/>
  <c r="E33" i="3" s="1"/>
  <c r="E47" i="3" s="1"/>
  <c r="F28" i="3"/>
  <c r="F30" i="3" s="1"/>
  <c r="F32" i="3" s="1"/>
  <c r="F33" i="3" s="1"/>
  <c r="O28" i="3"/>
  <c r="O30" i="3" s="1"/>
  <c r="O32" i="3" s="1"/>
  <c r="O33" i="3" s="1"/>
  <c r="O47" i="3" s="1"/>
  <c r="D28" i="3"/>
  <c r="D30" i="3" s="1"/>
  <c r="D32" i="3" s="1"/>
  <c r="D33" i="3" s="1"/>
  <c r="H28" i="3"/>
  <c r="H30" i="3" s="1"/>
  <c r="H32" i="3" s="1"/>
  <c r="H33" i="3" s="1"/>
  <c r="N28" i="3"/>
  <c r="N30" i="3" s="1"/>
  <c r="N32" i="3" s="1"/>
  <c r="N33" i="3" s="1"/>
  <c r="N47" i="3" s="1"/>
  <c r="M28" i="3"/>
  <c r="M30" i="3" s="1"/>
  <c r="M32" i="3" s="1"/>
  <c r="M33" i="3" s="1"/>
  <c r="M47" i="3" s="1"/>
  <c r="G28" i="3"/>
  <c r="G30" i="3" s="1"/>
  <c r="G32" i="3" s="1"/>
  <c r="G33" i="3" s="1"/>
  <c r="G47" i="3" s="1"/>
  <c r="L28" i="3"/>
  <c r="L30" i="3" s="1"/>
  <c r="L32" i="3" s="1"/>
  <c r="L33" i="3" s="1"/>
  <c r="L47" i="3" s="1"/>
  <c r="I24" i="3"/>
  <c r="I26" i="3" s="1"/>
  <c r="AH9" i="14"/>
  <c r="AB6" i="14"/>
  <c r="AE6" i="14"/>
  <c r="F23" i="3"/>
  <c r="M23" i="3"/>
  <c r="AB9" i="14"/>
  <c r="AB18" i="14"/>
  <c r="AH6" i="14"/>
  <c r="AE7" i="13"/>
  <c r="AL15" i="14"/>
  <c r="AE13" i="13"/>
  <c r="AL9" i="14"/>
  <c r="AD16" i="13"/>
  <c r="AK15" i="14"/>
  <c r="AE15" i="14"/>
  <c r="AL18" i="14"/>
  <c r="AC7" i="13"/>
  <c r="AJ14" i="14"/>
  <c r="AB7" i="14"/>
  <c r="AH16" i="13"/>
  <c r="AJ18" i="14"/>
  <c r="AH16" i="14"/>
  <c r="AC13" i="13"/>
  <c r="AC16" i="13"/>
  <c r="AA7" i="13"/>
  <c r="AH7" i="13"/>
  <c r="AD9" i="14"/>
  <c r="AG7" i="13"/>
  <c r="AB7" i="13"/>
  <c r="AB14" i="14"/>
  <c r="AJ9" i="14"/>
  <c r="AD14" i="14"/>
  <c r="AA16" i="13"/>
  <c r="AI7" i="13"/>
  <c r="AA18" i="14"/>
  <c r="AI14" i="14"/>
  <c r="AB16" i="14"/>
  <c r="AB13" i="13"/>
  <c r="AI9" i="13"/>
  <c r="AG9" i="14"/>
  <c r="AJ5" i="14"/>
  <c r="AL7" i="14"/>
  <c r="AB4" i="13"/>
  <c r="AA7" i="14"/>
  <c r="AA16" i="14"/>
  <c r="AD6" i="14"/>
  <c r="AG15" i="14"/>
  <c r="AH4" i="13"/>
  <c r="AI18" i="13"/>
  <c r="AF4" i="13"/>
  <c r="AC9" i="13"/>
  <c r="AG13" i="14"/>
  <c r="AG7" i="14"/>
  <c r="AF13" i="13"/>
  <c r="AE16" i="13"/>
  <c r="AJ16" i="14"/>
  <c r="AK7" i="13"/>
  <c r="AA6" i="14"/>
  <c r="AA4" i="14"/>
  <c r="AI7" i="14"/>
  <c r="AG6" i="14"/>
  <c r="AJ13" i="14"/>
  <c r="AD7" i="14"/>
  <c r="AJ7" i="14"/>
  <c r="AJ6" i="14"/>
  <c r="AL13" i="13"/>
  <c r="AI4" i="13"/>
  <c r="AC7" i="14"/>
  <c r="AD4" i="14"/>
  <c r="AC4" i="13"/>
  <c r="AJ4" i="14"/>
  <c r="AC14" i="14"/>
  <c r="AH5" i="14"/>
  <c r="AI4" i="14"/>
  <c r="AI5" i="14"/>
  <c r="AB5" i="14"/>
  <c r="AC13" i="14"/>
  <c r="AJ15" i="14"/>
  <c r="AF7" i="14"/>
  <c r="AC16" i="14"/>
  <c r="AF16" i="14"/>
  <c r="AC18" i="14"/>
  <c r="AG18" i="14"/>
  <c r="AC4" i="14"/>
  <c r="AA13" i="14"/>
  <c r="AE4" i="14"/>
  <c r="AK13" i="14"/>
  <c r="AG14" i="14"/>
  <c r="AE13" i="14"/>
  <c r="AI18" i="14"/>
  <c r="AA5" i="14"/>
  <c r="AF5" i="14"/>
  <c r="AL14" i="14"/>
  <c r="AL5" i="14"/>
  <c r="AF14" i="14"/>
  <c r="AE4" i="13"/>
  <c r="AI9" i="14"/>
  <c r="AA14" i="14"/>
  <c r="AL13" i="14"/>
  <c r="AF13" i="14"/>
  <c r="AF4" i="14"/>
  <c r="AL4" i="14"/>
  <c r="AD15" i="13"/>
  <c r="AJ6" i="13"/>
  <c r="AD6" i="13"/>
  <c r="AJ15" i="13"/>
  <c r="AE15" i="13"/>
  <c r="AK6" i="13"/>
  <c r="AE6" i="13"/>
  <c r="AK15" i="13"/>
  <c r="AE17" i="13"/>
  <c r="AK8" i="13"/>
  <c r="AE8" i="13"/>
  <c r="AK17" i="13"/>
  <c r="AA18" i="13"/>
  <c r="AG9" i="13"/>
  <c r="AA9" i="13"/>
  <c r="AG18" i="13"/>
  <c r="AD17" i="13"/>
  <c r="AJ8" i="13"/>
  <c r="AD8" i="13"/>
  <c r="AJ17" i="13"/>
  <c r="AE9" i="13"/>
  <c r="AK9" i="13"/>
  <c r="AE18" i="13"/>
  <c r="AK18" i="13"/>
  <c r="AH17" i="13"/>
  <c r="AH8" i="13"/>
  <c r="AB8" i="13"/>
  <c r="AB17" i="13"/>
  <c r="AA6" i="13"/>
  <c r="AG6" i="13"/>
  <c r="AA15" i="13"/>
  <c r="AG15" i="13"/>
  <c r="AI6" i="13"/>
  <c r="AI15" i="13"/>
  <c r="AC6" i="13"/>
  <c r="AC15" i="13"/>
  <c r="AB18" i="13"/>
  <c r="AB9" i="13"/>
  <c r="AH9" i="13"/>
  <c r="AH18" i="13"/>
  <c r="AA8" i="13"/>
  <c r="AG17" i="13"/>
  <c r="AG8" i="13"/>
  <c r="AA17" i="13"/>
  <c r="AF17" i="13"/>
  <c r="AF8" i="13"/>
  <c r="AL8" i="13"/>
  <c r="AL17" i="13"/>
  <c r="AH6" i="13"/>
  <c r="AB6" i="13"/>
  <c r="AB15" i="13"/>
  <c r="AH15" i="13"/>
  <c r="AL9" i="13"/>
  <c r="AF9" i="13"/>
  <c r="AF18" i="13"/>
  <c r="AL18" i="13"/>
  <c r="G23" i="3"/>
  <c r="J24" i="3"/>
  <c r="J26" i="3" s="1"/>
  <c r="J23" i="3"/>
  <c r="K24" i="3"/>
  <c r="K26" i="3" s="1"/>
  <c r="K23" i="3"/>
  <c r="AG13" i="8"/>
  <c r="Y6" i="11"/>
  <c r="AK6" i="11" s="1"/>
  <c r="AK4" i="8"/>
  <c r="AG4" i="8"/>
  <c r="Z8" i="11"/>
  <c r="AL8" i="11" s="1"/>
  <c r="AL4" i="8"/>
  <c r="AH4" i="8"/>
  <c r="AJ4" i="8"/>
  <c r="AI4" i="8"/>
  <c r="U8" i="11"/>
  <c r="AA17" i="11" s="1"/>
  <c r="U6" i="11"/>
  <c r="AA6" i="11" s="1"/>
  <c r="AF18" i="11"/>
  <c r="AL9" i="11"/>
  <c r="AF5" i="11"/>
  <c r="AF14" i="11"/>
  <c r="AL5" i="11"/>
  <c r="X7" i="11"/>
  <c r="AD7" i="11" s="1"/>
  <c r="X5" i="11"/>
  <c r="AD14" i="11" s="1"/>
  <c r="Y5" i="11"/>
  <c r="AE5" i="11" s="1"/>
  <c r="Z6" i="11"/>
  <c r="AL6" i="11" s="1"/>
  <c r="Y7" i="11"/>
  <c r="AE7" i="11" s="1"/>
  <c r="W6" i="11"/>
  <c r="AI6" i="11" s="1"/>
  <c r="W5" i="11"/>
  <c r="AI5" i="11" s="1"/>
  <c r="V5" i="11"/>
  <c r="AB14" i="11" s="1"/>
  <c r="U5" i="11"/>
  <c r="AG5" i="11" s="1"/>
  <c r="AD18" i="11"/>
  <c r="AD9" i="11"/>
  <c r="AJ9" i="11"/>
  <c r="AC18" i="11"/>
  <c r="AC9" i="11"/>
  <c r="AI9" i="11"/>
  <c r="AB18" i="11"/>
  <c r="AH9" i="11"/>
  <c r="AB9" i="11"/>
  <c r="AB17" i="11"/>
  <c r="AB8" i="11"/>
  <c r="AH8" i="11"/>
  <c r="Y8" i="11"/>
  <c r="V6" i="11"/>
  <c r="Z4" i="11"/>
  <c r="Y4" i="11"/>
  <c r="Z7" i="11"/>
  <c r="U7" i="11"/>
  <c r="W8" i="11"/>
  <c r="AE9" i="11"/>
  <c r="AK9" i="11"/>
  <c r="AE18" i="11"/>
  <c r="V7" i="11"/>
  <c r="V4" i="11"/>
  <c r="AC4" i="11"/>
  <c r="AI4" i="11"/>
  <c r="AC13" i="11"/>
  <c r="U4" i="11"/>
  <c r="AG9" i="11"/>
  <c r="AA18" i="11"/>
  <c r="AA9" i="11"/>
  <c r="AJ6" i="11"/>
  <c r="AD15" i="11"/>
  <c r="AD6" i="11"/>
  <c r="W7" i="11"/>
  <c r="X4" i="11"/>
  <c r="X8" i="11"/>
  <c r="AA13" i="8"/>
  <c r="AC13" i="8"/>
  <c r="E18" i="16"/>
  <c r="H18" i="16"/>
  <c r="AF13" i="8"/>
  <c r="AB13" i="8"/>
  <c r="D18" i="16"/>
  <c r="AD13" i="8"/>
  <c r="F18" i="16"/>
  <c r="G18" i="16"/>
  <c r="AE13" i="8"/>
  <c r="B3" i="10"/>
  <c r="H23" i="10" s="1"/>
  <c r="V8" i="8"/>
  <c r="AB8" i="8" s="1"/>
  <c r="W8" i="8"/>
  <c r="AC8" i="8" s="1"/>
  <c r="X8" i="8"/>
  <c r="AD8" i="8" s="1"/>
  <c r="Y8" i="8"/>
  <c r="AE8" i="8" s="1"/>
  <c r="Z8" i="8"/>
  <c r="AF8" i="8" s="1"/>
  <c r="U8" i="8"/>
  <c r="AA8" i="8" s="1"/>
  <c r="Z7" i="8"/>
  <c r="AF7" i="8" s="1"/>
  <c r="V7" i="8"/>
  <c r="AB7" i="8" s="1"/>
  <c r="W7" i="8"/>
  <c r="AC7" i="8" s="1"/>
  <c r="U7" i="8"/>
  <c r="AA7" i="8" s="1"/>
  <c r="X7" i="8"/>
  <c r="AD7" i="8" s="1"/>
  <c r="Y7" i="8"/>
  <c r="AE7" i="8" s="1"/>
  <c r="V9" i="8"/>
  <c r="AB9" i="8" s="1"/>
  <c r="X9" i="8"/>
  <c r="AD9" i="8" s="1"/>
  <c r="Z9" i="8"/>
  <c r="AF9" i="8" s="1"/>
  <c r="W9" i="8"/>
  <c r="AC9" i="8" s="1"/>
  <c r="U9" i="8"/>
  <c r="AA9" i="8" s="1"/>
  <c r="Y9" i="8"/>
  <c r="AE9" i="8" s="1"/>
  <c r="Z5" i="8"/>
  <c r="V5" i="8"/>
  <c r="AB5" i="8" s="1"/>
  <c r="U5" i="8"/>
  <c r="Y5" i="8"/>
  <c r="AE5" i="8" s="1"/>
  <c r="W5" i="8"/>
  <c r="AC5" i="8" s="1"/>
  <c r="X5" i="8"/>
  <c r="AD5" i="8" s="1"/>
  <c r="W6" i="8"/>
  <c r="AC6" i="8" s="1"/>
  <c r="Y6" i="8"/>
  <c r="AE6" i="8" s="1"/>
  <c r="Z6" i="8"/>
  <c r="AF6" i="8" s="1"/>
  <c r="U6" i="8"/>
  <c r="AA6" i="8" s="1"/>
  <c r="V6" i="8"/>
  <c r="AB6" i="8" s="1"/>
  <c r="X6" i="8"/>
  <c r="AD6" i="8" s="1"/>
  <c r="F47" i="3" l="1"/>
  <c r="O6" i="16"/>
  <c r="D47" i="3"/>
  <c r="N6" i="16"/>
  <c r="N8" i="16" s="1"/>
  <c r="H47" i="3"/>
  <c r="P6" i="16"/>
  <c r="AF5" i="8"/>
  <c r="H19" i="16" s="1"/>
  <c r="C9" i="3"/>
  <c r="C8" i="16"/>
  <c r="AA5" i="8"/>
  <c r="C19" i="16" s="1"/>
  <c r="AI18" i="8"/>
  <c r="E12" i="16"/>
  <c r="AG15" i="8"/>
  <c r="C9" i="16"/>
  <c r="AH14" i="8"/>
  <c r="D8" i="16"/>
  <c r="AK16" i="8"/>
  <c r="G10" i="16"/>
  <c r="AK17" i="8"/>
  <c r="G11" i="16"/>
  <c r="AL15" i="8"/>
  <c r="H9" i="16"/>
  <c r="H8" i="16"/>
  <c r="AJ16" i="8"/>
  <c r="F10" i="16"/>
  <c r="AJ17" i="8"/>
  <c r="F11" i="16"/>
  <c r="AK15" i="8"/>
  <c r="G9" i="16"/>
  <c r="AK18" i="8"/>
  <c r="G12" i="16"/>
  <c r="AG16" i="8"/>
  <c r="C10" i="16"/>
  <c r="AI17" i="8"/>
  <c r="E11" i="16"/>
  <c r="AJ14" i="8"/>
  <c r="F8" i="16"/>
  <c r="AG18" i="8"/>
  <c r="C12" i="16"/>
  <c r="AJ15" i="8"/>
  <c r="F9" i="16"/>
  <c r="AK14" i="8"/>
  <c r="G8" i="16"/>
  <c r="AJ18" i="8"/>
  <c r="F12" i="16"/>
  <c r="AG17" i="8"/>
  <c r="C11" i="16"/>
  <c r="AI15" i="8"/>
  <c r="E9" i="16"/>
  <c r="AI16" i="8"/>
  <c r="E10" i="16"/>
  <c r="AH17" i="8"/>
  <c r="D11" i="16"/>
  <c r="AH16" i="8"/>
  <c r="D10" i="16"/>
  <c r="AI14" i="8"/>
  <c r="E8" i="16"/>
  <c r="AL18" i="8"/>
  <c r="H12" i="16"/>
  <c r="AL16" i="8"/>
  <c r="H10" i="16"/>
  <c r="AH15" i="8"/>
  <c r="D9" i="16"/>
  <c r="AH18" i="8"/>
  <c r="D12" i="16"/>
  <c r="AL17" i="8"/>
  <c r="H11" i="16"/>
  <c r="AG14" i="8"/>
  <c r="D9" i="3"/>
  <c r="I4" i="3" s="1"/>
  <c r="AL14" i="8"/>
  <c r="I28" i="3"/>
  <c r="I30" i="3" s="1"/>
  <c r="I32" i="3" s="1"/>
  <c r="I33" i="3" s="1"/>
  <c r="K28" i="3"/>
  <c r="K30" i="3" s="1"/>
  <c r="K32" i="3" s="1"/>
  <c r="K33" i="3" s="1"/>
  <c r="K47" i="3" s="1"/>
  <c r="J28" i="3"/>
  <c r="J30" i="3" s="1"/>
  <c r="J32" i="3" s="1"/>
  <c r="J33" i="3" s="1"/>
  <c r="J47" i="3" s="1"/>
  <c r="AE6" i="11"/>
  <c r="AE15" i="11"/>
  <c r="AF17" i="11"/>
  <c r="AA5" i="11"/>
  <c r="AG8" i="11"/>
  <c r="AD16" i="11"/>
  <c r="AB5" i="11"/>
  <c r="AJ5" i="8"/>
  <c r="AI9" i="8"/>
  <c r="AH7" i="8"/>
  <c r="AJ9" i="8"/>
  <c r="AA8" i="11"/>
  <c r="AL7" i="8"/>
  <c r="AL8" i="8"/>
  <c r="AL9" i="8"/>
  <c r="AH5" i="8"/>
  <c r="AK8" i="8"/>
  <c r="AA15" i="11"/>
  <c r="AL6" i="8"/>
  <c r="AL5" i="8"/>
  <c r="AJ7" i="8"/>
  <c r="AJ8" i="8"/>
  <c r="AG6" i="11"/>
  <c r="AF8" i="11"/>
  <c r="AI6" i="8"/>
  <c r="AG9" i="8"/>
  <c r="AI7" i="8"/>
  <c r="AH8" i="8"/>
  <c r="AI5" i="8"/>
  <c r="AJ6" i="8"/>
  <c r="AK5" i="8"/>
  <c r="AG8" i="8"/>
  <c r="AH6" i="8"/>
  <c r="AG5" i="8"/>
  <c r="AH9" i="8"/>
  <c r="AG6" i="8"/>
  <c r="AK7" i="8"/>
  <c r="AK6" i="8"/>
  <c r="AK9" i="8"/>
  <c r="AG7" i="8"/>
  <c r="AI8" i="8"/>
  <c r="AH5" i="11"/>
  <c r="AA14" i="11"/>
  <c r="AC15" i="11"/>
  <c r="AC6" i="11"/>
  <c r="AC5" i="11"/>
  <c r="AJ7" i="11"/>
  <c r="AC14" i="11"/>
  <c r="AJ5" i="11"/>
  <c r="AD5" i="11"/>
  <c r="AK7" i="11"/>
  <c r="AF6" i="11"/>
  <c r="AE16" i="11"/>
  <c r="AF15" i="11"/>
  <c r="AE14" i="11"/>
  <c r="AK5" i="11"/>
  <c r="AB13" i="11"/>
  <c r="AB4" i="11"/>
  <c r="AH4" i="11"/>
  <c r="AA13" i="11"/>
  <c r="AA4" i="11"/>
  <c r="AG4" i="11"/>
  <c r="AK4" i="11"/>
  <c r="AE4" i="11"/>
  <c r="AE13" i="11"/>
  <c r="AF13" i="11"/>
  <c r="AL4" i="11"/>
  <c r="AF4" i="11"/>
  <c r="AB6" i="11"/>
  <c r="AH6" i="11"/>
  <c r="AB15" i="11"/>
  <c r="AB16" i="11"/>
  <c r="AH7" i="11"/>
  <c r="AB7" i="11"/>
  <c r="AJ8" i="11"/>
  <c r="AD8" i="11"/>
  <c r="AD17" i="11"/>
  <c r="AJ4" i="11"/>
  <c r="AD4" i="11"/>
  <c r="AD13" i="11"/>
  <c r="AC8" i="11"/>
  <c r="AI8" i="11"/>
  <c r="AC17" i="11"/>
  <c r="AK8" i="11"/>
  <c r="AE17" i="11"/>
  <c r="AE8" i="11"/>
  <c r="AC7" i="11"/>
  <c r="AC16" i="11"/>
  <c r="AI7" i="11"/>
  <c r="AG7" i="11"/>
  <c r="AA7" i="11"/>
  <c r="AA16" i="11"/>
  <c r="AF7" i="11"/>
  <c r="AF16" i="11"/>
  <c r="AL7" i="11"/>
  <c r="AE14" i="8"/>
  <c r="G19" i="16"/>
  <c r="AF14" i="8"/>
  <c r="E19" i="16"/>
  <c r="AC14" i="8"/>
  <c r="AA14" i="8"/>
  <c r="D19" i="16"/>
  <c r="AB14" i="8"/>
  <c r="G22" i="16"/>
  <c r="AE17" i="8"/>
  <c r="H20" i="16"/>
  <c r="AF15" i="8"/>
  <c r="F22" i="16"/>
  <c r="AD17" i="8"/>
  <c r="G20" i="16"/>
  <c r="AE15" i="8"/>
  <c r="AA16" i="8"/>
  <c r="C21" i="16"/>
  <c r="E22" i="16"/>
  <c r="AC17" i="8"/>
  <c r="AA18" i="8"/>
  <c r="C23" i="16"/>
  <c r="AC16" i="8"/>
  <c r="E21" i="16"/>
  <c r="D22" i="16"/>
  <c r="AB17" i="8"/>
  <c r="H23" i="16"/>
  <c r="AF18" i="8"/>
  <c r="AF16" i="8"/>
  <c r="H21" i="16"/>
  <c r="F20" i="16"/>
  <c r="AD15" i="8"/>
  <c r="AD18" i="8"/>
  <c r="F23" i="16"/>
  <c r="AA17" i="8"/>
  <c r="C22" i="16"/>
  <c r="AB15" i="8"/>
  <c r="D20" i="16"/>
  <c r="AB18" i="8"/>
  <c r="D23" i="16"/>
  <c r="AF17" i="8"/>
  <c r="H22" i="16"/>
  <c r="C20" i="16"/>
  <c r="AA15" i="8"/>
  <c r="AE16" i="8"/>
  <c r="G21" i="16"/>
  <c r="AD16" i="8"/>
  <c r="F21" i="16"/>
  <c r="G23" i="16"/>
  <c r="AE18" i="8"/>
  <c r="AC15" i="8"/>
  <c r="E20" i="16"/>
  <c r="F19" i="16"/>
  <c r="AD14" i="8"/>
  <c r="AC18" i="8"/>
  <c r="E23" i="16"/>
  <c r="D21" i="16"/>
  <c r="AB16" i="8"/>
  <c r="D6" i="10"/>
  <c r="D21" i="10"/>
  <c r="H14" i="10"/>
  <c r="H10" i="10"/>
  <c r="H3" i="10"/>
  <c r="H2" i="10"/>
  <c r="D22" i="10"/>
  <c r="D13" i="10"/>
  <c r="D5" i="10"/>
  <c r="H9" i="10"/>
  <c r="D10" i="10"/>
  <c r="D19" i="10"/>
  <c r="H13" i="10"/>
  <c r="H8" i="10"/>
  <c r="D18" i="10"/>
  <c r="D12" i="10"/>
  <c r="D11" i="10"/>
  <c r="H20" i="10"/>
  <c r="H7" i="10"/>
  <c r="H22" i="10"/>
  <c r="H21" i="10"/>
  <c r="D20" i="10"/>
  <c r="D17" i="10"/>
  <c r="D4" i="10"/>
  <c r="D3" i="10"/>
  <c r="H12" i="10"/>
  <c r="H16" i="10"/>
  <c r="D9" i="10"/>
  <c r="D8" i="10"/>
  <c r="H19" i="10"/>
  <c r="D7" i="10"/>
  <c r="H17" i="10"/>
  <c r="H11" i="10"/>
  <c r="H5" i="10"/>
  <c r="D2" i="10"/>
  <c r="G2" i="10" s="1"/>
  <c r="H6" i="10"/>
  <c r="D16" i="10"/>
  <c r="D15" i="10"/>
  <c r="D14" i="10"/>
  <c r="H15" i="10"/>
  <c r="H18" i="10"/>
  <c r="H4" i="10"/>
  <c r="T92" i="5"/>
  <c r="Q92" i="5"/>
  <c r="N92" i="5"/>
  <c r="K92" i="5"/>
  <c r="H92" i="5"/>
  <c r="E92" i="5"/>
  <c r="C82" i="5"/>
  <c r="D82" i="5"/>
  <c r="E82" i="5"/>
  <c r="F82" i="5"/>
  <c r="G82" i="5"/>
  <c r="H82" i="5"/>
  <c r="I82" i="5"/>
  <c r="J82" i="5"/>
  <c r="K82" i="5"/>
  <c r="K88" i="5" s="1"/>
  <c r="L82" i="5"/>
  <c r="M82" i="5"/>
  <c r="N82" i="5"/>
  <c r="O82" i="5"/>
  <c r="P82" i="5"/>
  <c r="Q82" i="5"/>
  <c r="R82" i="5"/>
  <c r="S82" i="5"/>
  <c r="T82" i="5"/>
  <c r="T88" i="5" s="1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Q89" i="5" s="1"/>
  <c r="R83" i="5"/>
  <c r="S83" i="5"/>
  <c r="T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T87" i="5" s="1"/>
  <c r="C81" i="5"/>
  <c r="B14" i="4"/>
  <c r="B13" i="4"/>
  <c r="I47" i="3" l="1"/>
  <c r="I3" i="3" s="1"/>
  <c r="Q6" i="16"/>
  <c r="F19" i="10"/>
  <c r="F17" i="10"/>
  <c r="E11" i="10"/>
  <c r="F5" i="10"/>
  <c r="F22" i="10"/>
  <c r="E8" i="10"/>
  <c r="E9" i="10"/>
  <c r="E21" i="10"/>
  <c r="E12" i="10"/>
  <c r="E15" i="10"/>
  <c r="D23" i="10"/>
  <c r="F20" i="10"/>
  <c r="E18" i="10"/>
  <c r="E10" i="10"/>
  <c r="E13" i="10"/>
  <c r="F18" i="10"/>
  <c r="E5" i="10"/>
  <c r="F15" i="10"/>
  <c r="E3" i="10"/>
  <c r="F14" i="10"/>
  <c r="E2" i="10"/>
  <c r="E16" i="10"/>
  <c r="E19" i="10"/>
  <c r="F4" i="10"/>
  <c r="E4" i="10"/>
  <c r="F8" i="10"/>
  <c r="F9" i="10"/>
  <c r="F10" i="10"/>
  <c r="E7" i="10"/>
  <c r="F21" i="10"/>
  <c r="E17" i="10"/>
  <c r="F3" i="10"/>
  <c r="E20" i="10"/>
  <c r="G3" i="10"/>
  <c r="G4" i="10" s="1"/>
  <c r="G5" i="10" s="1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E14" i="10"/>
  <c r="F11" i="10"/>
  <c r="F7" i="10"/>
  <c r="F6" i="10"/>
  <c r="F12" i="10"/>
  <c r="E6" i="10"/>
  <c r="F13" i="10"/>
  <c r="F16" i="10"/>
  <c r="Q87" i="5"/>
  <c r="N89" i="5"/>
  <c r="T90" i="5"/>
  <c r="H88" i="5"/>
  <c r="N91" i="5"/>
  <c r="K90" i="5"/>
  <c r="E89" i="5"/>
  <c r="Q91" i="5"/>
  <c r="K91" i="5"/>
  <c r="E91" i="5"/>
  <c r="K87" i="5"/>
  <c r="T91" i="5"/>
  <c r="E90" i="5"/>
  <c r="Q88" i="5"/>
  <c r="N90" i="5"/>
  <c r="E87" i="5"/>
  <c r="H90" i="5"/>
  <c r="H87" i="5"/>
  <c r="H89" i="5"/>
  <c r="N88" i="5"/>
  <c r="H91" i="5"/>
  <c r="T89" i="5"/>
  <c r="N87" i="5"/>
  <c r="Q90" i="5"/>
  <c r="K89" i="5"/>
  <c r="E8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tc={7FEE4990-3C55-664D-ACB1-6D5B0B3EC1AD}</author>
  </authors>
  <commentList>
    <comment ref="AB2" authorId="0" shapeId="0" xr:uid="{7FEE4990-3C55-664D-ACB1-6D5B0B3EC1A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https://www.grantthornton.global/en/insights/articles/tipping-point-to-grid-parity/#:~:text=Some%20key%20results%20of%20the,wind%20and%20offshore%20wind%20respectively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tc={71DEF7B2-7C67-D342-9C08-7116799A6883}</author>
  </authors>
  <commentList>
    <comment ref="AB2" authorId="0" shapeId="0" xr:uid="{71DEF7B2-7C67-D342-9C08-7116799A688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https://www.grantthornton.global/en/insights/articles/tipping-point-to-grid-parity/#:~:text=Some%20key%20results%20of%20the,wind%20and%20offshore%20wind%20respectively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tc={D43561E9-3E09-A444-9600-48E7B9932CA6}</author>
  </authors>
  <commentList>
    <comment ref="AB2" authorId="0" shapeId="0" xr:uid="{D43561E9-3E09-A444-9600-48E7B9932CA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https://www.grantthornton.global/en/insights/articles/tipping-point-to-grid-parity/#:~:text=Some%20key%20results%20of%20the,wind%20and%20offshore%20wind%20respectively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tc={BCDC6B31-FD41-6C47-91D7-16295D551774}</author>
  </authors>
  <commentList>
    <comment ref="AB2" authorId="0" shapeId="0" xr:uid="{BCDC6B31-FD41-6C47-91D7-16295D55177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https://www.grantthornton.global/en/insights/articles/tipping-point-to-grid-parity/#:~:text=Some%20key%20results%20of%20the,wind%20and%20offshore%20wind%20respectively
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<sst xmlns="http://schemas.openxmlformats.org/spreadsheetml/2006/main" count="971" uniqueCount="311">
  <si>
    <t>HornsRev</t>
  </si>
  <si>
    <t>New Zealand</t>
  </si>
  <si>
    <t>California</t>
  </si>
  <si>
    <t>Taiwan</t>
  </si>
  <si>
    <t>dir sensitivity</t>
  </si>
  <si>
    <t>number of movements</t>
  </si>
  <si>
    <t>AEP Gain</t>
  </si>
  <si>
    <t>Wind Roses</t>
  </si>
  <si>
    <t>character</t>
  </si>
  <si>
    <t>diurnal bif</t>
  </si>
  <si>
    <t>broad bif</t>
  </si>
  <si>
    <t>Charts</t>
  </si>
  <si>
    <t>(degrees)</t>
  </si>
  <si>
    <t>broad mono</t>
  </si>
  <si>
    <t>broad</t>
  </si>
  <si>
    <t>narrow mono</t>
  </si>
  <si>
    <t>Extreme Farm</t>
  </si>
  <si>
    <t>Initial Farm</t>
  </si>
  <si>
    <t>Zone 32</t>
  </si>
  <si>
    <t>Chile</t>
  </si>
  <si>
    <t>Zone 19</t>
  </si>
  <si>
    <t>Zone 51</t>
  </si>
  <si>
    <t>Zone 60</t>
  </si>
  <si>
    <t>Zone 10</t>
  </si>
  <si>
    <t>Site</t>
  </si>
  <si>
    <t>Mean</t>
  </si>
  <si>
    <t>stdv</t>
  </si>
  <si>
    <t>Bias (140m)</t>
  </si>
  <si>
    <t>source: https://vortexfdc.com/wp-content/uploads/2021/08/metocean_vortex_wind_model_validation.pdf</t>
  </si>
  <si>
    <t>Important test notes:</t>
  </si>
  <si>
    <t>at all but two sites, vortex bias is closer to zero than Era5</t>
  </si>
  <si>
    <t>Vortex CC is closer than or equal to Era5 CC (correlation coefficient) everywhere</t>
  </si>
  <si>
    <t>negative values of bias represent UNDERPREDICTION by vortex</t>
  </si>
  <si>
    <t>neither model (era5 nor vortex) is quite accurate (underpredicts) at the high end of wind speed spectrum</t>
  </si>
  <si>
    <t>deg sens</t>
  </si>
  <si>
    <t>Hornsrev</t>
  </si>
  <si>
    <t>clean AEP gain</t>
  </si>
  <si>
    <t>noisy AEP gain</t>
  </si>
  <si>
    <t>uncert in AEP gain</t>
  </si>
  <si>
    <t>uncertainty percentages are in percentage gain, not in percentage difference (see tables below in cells C80 etc)</t>
  </si>
  <si>
    <t>Maine</t>
  </si>
  <si>
    <t>per unit ____</t>
  </si>
  <si>
    <t>Shared Moorings</t>
  </si>
  <si>
    <t>Apollo PALM Disconnector</t>
  </si>
  <si>
    <t>Technology Name</t>
  </si>
  <si>
    <t>Category</t>
  </si>
  <si>
    <t>Moorings</t>
  </si>
  <si>
    <t>Controls</t>
  </si>
  <si>
    <t>Novel SCADA</t>
  </si>
  <si>
    <t>Winching (?)</t>
  </si>
  <si>
    <t>Cabling</t>
  </si>
  <si>
    <t>Dynamic Cable</t>
  </si>
  <si>
    <t>Movement Freq./Downtime</t>
  </si>
  <si>
    <t>Wake Thrusting (??)</t>
  </si>
  <si>
    <t>Manual/Boat (?)</t>
  </si>
  <si>
    <t>Magnus Effect Rotor (???)</t>
  </si>
  <si>
    <t>Sails (??)</t>
  </si>
  <si>
    <t>turbine</t>
  </si>
  <si>
    <t>turbine or farm</t>
  </si>
  <si>
    <t>CapEx Cost Factor</t>
  </si>
  <si>
    <t>OpEx Cost Factor</t>
  </si>
  <si>
    <t>per unit _____</t>
  </si>
  <si>
    <t>Logistical Limits</t>
  </si>
  <si>
    <t>Scaling Limits</t>
  </si>
  <si>
    <t>Depth Limits</t>
  </si>
  <si>
    <t>turbine or km</t>
  </si>
  <si>
    <t>turbine or adjustment</t>
  </si>
  <si>
    <t>farm</t>
  </si>
  <si>
    <t>farm or adjustment</t>
  </si>
  <si>
    <t>Tech Ready Level (1-&gt;9)</t>
  </si>
  <si>
    <t>Speculative/Passive</t>
  </si>
  <si>
    <t>N/A</t>
  </si>
  <si>
    <t>6 month</t>
  </si>
  <si>
    <t>1- year</t>
  </si>
  <si>
    <t>(is there a way to get a full years data from Vortex for this one site?)</t>
  </si>
  <si>
    <t>spliced full year vortex (two nearby sites)</t>
  </si>
  <si>
    <t>NPV</t>
  </si>
  <si>
    <t>IRR</t>
  </si>
  <si>
    <t>Horizontal Excursion Limits</t>
  </si>
  <si>
    <t>% AEP Gain</t>
  </si>
  <si>
    <t>GWh/a Gain</t>
  </si>
  <si>
    <t>Subsidy</t>
  </si>
  <si>
    <t xml:space="preserve">Optionality of mooring and dynamic cable systems to facilitate </t>
  </si>
  <si>
    <t>Directional Sensitivity (degrees)</t>
  </si>
  <si>
    <t>Dir Sens (Deg)</t>
  </si>
  <si>
    <t>£/GWh</t>
  </si>
  <si>
    <t>Cost/ benefit</t>
  </si>
  <si>
    <t>Questions for Apollo</t>
  </si>
  <si>
    <t>Base AEP (GWh/a)</t>
  </si>
  <si>
    <t>Limitation of mooring line radius</t>
  </si>
  <si>
    <t>seasonal/broad</t>
  </si>
  <si>
    <t>Monetary Gain $/Ann.</t>
  </si>
  <si>
    <t>$/GWh</t>
  </si>
  <si>
    <t>https://www.gov.uk/government/news/boost-for-offshore-wind-as-government-raises-maximum-prices-in-renewable-energy-auction#:~:text=The%20maximum%20strike%20price%20has,6%20(%20AR6%20)%20next%20year.</t>
  </si>
  <si>
    <t>2024 SUNAK</t>
  </si>
  <si>
    <t>Capacity Factor</t>
  </si>
  <si>
    <t>MWh</t>
  </si>
  <si>
    <t>Turb</t>
  </si>
  <si>
    <t>CF</t>
  </si>
  <si>
    <t>MWh/An</t>
  </si>
  <si>
    <t>GWh/An</t>
  </si>
  <si>
    <t>Base AEP (TWh/an.)</t>
  </si>
  <si>
    <t>PV</t>
  </si>
  <si>
    <t>FV</t>
  </si>
  <si>
    <t>Discount Rate, rd:</t>
  </si>
  <si>
    <t>Interest Rate, ri:</t>
  </si>
  <si>
    <t>Farm Lifespan, t:</t>
  </si>
  <si>
    <t>Base CapEx Cost</t>
  </si>
  <si>
    <t>Extreme CapEx Cost</t>
  </si>
  <si>
    <t>Net Upgrade Investment CapEx</t>
  </si>
  <si>
    <t>PV-Investment</t>
  </si>
  <si>
    <t>or</t>
  </si>
  <si>
    <t>CF/(1+r)^t-invest</t>
  </si>
  <si>
    <t>Latitude</t>
  </si>
  <si>
    <t>Longitude</t>
  </si>
  <si>
    <t>Country</t>
  </si>
  <si>
    <t>Wind Character</t>
  </si>
  <si>
    <t>270/160</t>
  </si>
  <si>
    <t>Denmark</t>
  </si>
  <si>
    <t>United States</t>
  </si>
  <si>
    <t>Wind Rose</t>
  </si>
  <si>
    <t>Broad/Mono</t>
  </si>
  <si>
    <t>Narrow/Mono</t>
  </si>
  <si>
    <t>Broad/Bifurcated</t>
  </si>
  <si>
    <t>Broad</t>
  </si>
  <si>
    <t>Avg WS (m/s)</t>
  </si>
  <si>
    <t>Primary WD (deg)</t>
  </si>
  <si>
    <t>Year</t>
  </si>
  <si>
    <t>Deg Sens</t>
  </si>
  <si>
    <t>Disc. Rate</t>
  </si>
  <si>
    <t>Invest</t>
  </si>
  <si>
    <t>diff</t>
  </si>
  <si>
    <t>fact</t>
  </si>
  <si>
    <t>R</t>
  </si>
  <si>
    <t>running sum</t>
  </si>
  <si>
    <t>Not Accounting For Discount Rate</t>
  </si>
  <si>
    <t>Payback Period</t>
  </si>
  <si>
    <t>(Years)</t>
  </si>
  <si>
    <t>discount rate from</t>
  </si>
  <si>
    <t>https://www.grantthornton.global/globalassets/1.-member-firms/united-kingdom/pdf/documents/renewable-energy-discount-rate-survey-2017.pdf</t>
  </si>
  <si>
    <t>essentially an inverse to payback period</t>
  </si>
  <si>
    <t>146 pound/MWh</t>
  </si>
  <si>
    <t>No. Daily Movements</t>
  </si>
  <si>
    <t>Initial CapEx Cost</t>
  </si>
  <si>
    <t>Chile Initial</t>
  </si>
  <si>
    <t>Chile Extreme</t>
  </si>
  <si>
    <t>Cables</t>
  </si>
  <si>
    <t>Mooring system</t>
  </si>
  <si>
    <t>Delta</t>
  </si>
  <si>
    <t>sum</t>
  </si>
  <si>
    <t xml:space="preserve">broad </t>
  </si>
  <si>
    <t>broad split</t>
  </si>
  <si>
    <t>Daily Movements</t>
  </si>
  <si>
    <t>6hr operation per turbine per connect OR Disconnect</t>
  </si>
  <si>
    <t>improvement</t>
  </si>
  <si>
    <t>power</t>
  </si>
  <si>
    <t>initial capacity factor</t>
  </si>
  <si>
    <t>effective capacity factor</t>
  </si>
  <si>
    <t>GW</t>
  </si>
  <si>
    <t>value</t>
  </si>
  <si>
    <t>GWh</t>
  </si>
  <si>
    <t>my initial capacity</t>
  </si>
  <si>
    <t>energy gain</t>
  </si>
  <si>
    <t>energy total</t>
  </si>
  <si>
    <t>initial energy</t>
  </si>
  <si>
    <t>assumed PPA</t>
  </si>
  <si>
    <t>actual FOWF CFD</t>
  </si>
  <si>
    <t>pound/MWh</t>
  </si>
  <si>
    <t>CFD Value</t>
  </si>
  <si>
    <t>Comparison to calculations from Houck 2022</t>
  </si>
  <si>
    <t>Houck's Numbers</t>
  </si>
  <si>
    <t>My Numbers</t>
  </si>
  <si>
    <t>Cable</t>
  </si>
  <si>
    <t>turbines</t>
  </si>
  <si>
    <t>winches per turbine</t>
  </si>
  <si>
    <t>total winches</t>
  </si>
  <si>
    <t>winch cost (optimistic)</t>
  </si>
  <si>
    <t>winch cost (conservative)</t>
  </si>
  <si>
    <t>Mooring Lines</t>
  </si>
  <si>
    <t>Mooring Winches</t>
  </si>
  <si>
    <t>depth (m)</t>
  </si>
  <si>
    <t>line count</t>
  </si>
  <si>
    <t>Upper Angle tolerance</t>
  </si>
  <si>
    <t>lower angle tolerance</t>
  </si>
  <si>
    <t>Anchor Radius</t>
  </si>
  <si>
    <t>Allowed Stretch</t>
  </si>
  <si>
    <t>max shortened line length</t>
  </si>
  <si>
    <t>formula</t>
  </si>
  <si>
    <t>assumed from results of allowed stretch</t>
  </si>
  <si>
    <t>From Will?</t>
  </si>
  <si>
    <t>tan(low angle)*depth</t>
  </si>
  <si>
    <t>Anc.Rad - Tan(up angle)*depth</t>
  </si>
  <si>
    <t>depth/cos(low angle)</t>
  </si>
  <si>
    <t>shortened anchor rad</t>
  </si>
  <si>
    <t>depth*tan(low angle)</t>
  </si>
  <si>
    <t>lengthened anchor rad</t>
  </si>
  <si>
    <t>lengthened line length</t>
  </si>
  <si>
    <t>2(Anc.Rad)-short anc.rad</t>
  </si>
  <si>
    <t>nominal angle</t>
  </si>
  <si>
    <t>tan^-1(length anc.rad/depth)</t>
  </si>
  <si>
    <t>sqrt(length anc.rad^s + depth^2)</t>
  </si>
  <si>
    <t>drum capacity</t>
  </si>
  <si>
    <t>length line - short line</t>
  </si>
  <si>
    <t>Min required line length</t>
  </si>
  <si>
    <t>req. line length * num lines</t>
  </si>
  <si>
    <t>Polyester cost per meter</t>
  </si>
  <si>
    <t>line cost per turbine</t>
  </si>
  <si>
    <t>total line per turbine*cost/meter</t>
  </si>
  <si>
    <t>equiv to lengthened line (safety factor  of sqrt(3) already applied via 2-D triangles instead of 3D)</t>
  </si>
  <si>
    <t>total cost per turbine*turbines</t>
  </si>
  <si>
    <t>total</t>
  </si>
  <si>
    <t>Optimistic</t>
  </si>
  <si>
    <t>pessimistic</t>
  </si>
  <si>
    <t>Total Farm Cost (doesn’t include IAC yet)</t>
  </si>
  <si>
    <t>farm scenario</t>
  </si>
  <si>
    <t>Desired stretch</t>
  </si>
  <si>
    <t>Spring shape factor X</t>
  </si>
  <si>
    <t>cost per m IAC</t>
  </si>
  <si>
    <t>extra durability/ shielding/ floataion factor X</t>
  </si>
  <si>
    <t>competative</t>
  </si>
  <si>
    <t>unlimited</t>
  </si>
  <si>
    <t>competative+ tug vessel</t>
  </si>
  <si>
    <t>series loads</t>
  </si>
  <si>
    <t>small arrays</t>
  </si>
  <si>
    <t>100-300m</t>
  </si>
  <si>
    <t>tug/vessel</t>
  </si>
  <si>
    <t>1.2 shielding, +extended w and bouyancy</t>
  </si>
  <si>
    <t>likely higher</t>
  </si>
  <si>
    <t>700m?</t>
  </si>
  <si>
    <t>N/A?</t>
  </si>
  <si>
    <t>100m/min</t>
  </si>
  <si>
    <t>700m, depth dependent</t>
  </si>
  <si>
    <t>2000m/700m excursion</t>
  </si>
  <si>
    <t>200 tonnes</t>
  </si>
  <si>
    <t>200k-500k * Lines</t>
  </si>
  <si>
    <t>competative PALM</t>
  </si>
  <si>
    <t>half-day per turbine, plus 2 day muster and return, at 100k/day</t>
  </si>
  <si>
    <t>half-day per turbine</t>
  </si>
  <si>
    <t>OpEx Cost</t>
  </si>
  <si>
    <t>1 or 2</t>
  </si>
  <si>
    <t>annually @</t>
  </si>
  <si>
    <t>with</t>
  </si>
  <si>
    <t>annually per farm</t>
  </si>
  <si>
    <t>upgrade line (m) per turbine</t>
  </si>
  <si>
    <t>initial line (m) per turbine</t>
  </si>
  <si>
    <t>cos(45)*d*num lines</t>
  </si>
  <si>
    <t>Delta line (m) per turbine</t>
  </si>
  <si>
    <t>upgrade-initial</t>
  </si>
  <si>
    <t>upgrade Install cost factor</t>
  </si>
  <si>
    <t>factor*upgrade cost per turbine</t>
  </si>
  <si>
    <t>upgraded install cost per turbine</t>
  </si>
  <si>
    <t>initial IAC cost</t>
  </si>
  <si>
    <t>D*cost factor</t>
  </si>
  <si>
    <t>initial cost/m</t>
  </si>
  <si>
    <t>minimum costs, 3 lines per turbine</t>
  </si>
  <si>
    <t>maximum costs, 6 lines per turbine - using track system to keep to 3 winches</t>
  </si>
  <si>
    <t>Lifetime cost of winch energy</t>
  </si>
  <si>
    <t>second order effects on mooring systems</t>
  </si>
  <si>
    <t>winch energy usage (of AEP)</t>
  </si>
  <si>
    <t>delta upgrade cost per turbine</t>
  </si>
  <si>
    <t>upgrade-initial cost per turbine</t>
  </si>
  <si>
    <t>upgrade cost per farm</t>
  </si>
  <si>
    <t>consumption</t>
  </si>
  <si>
    <t>winches</t>
  </si>
  <si>
    <t>movements per day</t>
  </si>
  <si>
    <t>Energy consumption</t>
  </si>
  <si>
    <t>MWh/a</t>
  </si>
  <si>
    <t>Energy Gain</t>
  </si>
  <si>
    <t>Energy loss</t>
  </si>
  <si>
    <t>per winch (MW)</t>
  </si>
  <si>
    <t>minutes per 700m movement</t>
  </si>
  <si>
    <t>Cable+Mooring Upgrade Costs</t>
  </si>
  <si>
    <t>downtime buffer (ramp up/down)</t>
  </si>
  <si>
    <t>minutes</t>
  </si>
  <si>
    <t>downtime energy loss</t>
  </si>
  <si>
    <t>turbine power (MW)</t>
  </si>
  <si>
    <t>downtime (minutes)</t>
  </si>
  <si>
    <t>downtime percent</t>
  </si>
  <si>
    <t>%</t>
  </si>
  <si>
    <t>energy loss percent</t>
  </si>
  <si>
    <t>motions per day</t>
  </si>
  <si>
    <t>stretch distance</t>
  </si>
  <si>
    <t>meter</t>
  </si>
  <si>
    <t>movement speed</t>
  </si>
  <si>
    <t>m/minute</t>
  </si>
  <si>
    <t>I agree the approach</t>
  </si>
  <si>
    <t>Also this is conservative as you might organise for the movement to take place during lower winds speeds (within reasons) and the appraoch you have taken just applies this as a rough availability downtime loss which therefore assumes the loss applies equally/ on average over the wind speed distribution.</t>
  </si>
  <si>
    <t>you are also being conservative (though I think you should keep this as discussed and agreed) in that you are assuming the "energy consumption" losses apply to all winches but in reality some will "pay-out" under a brake rather than pull in under winch, as Will described. But keep you approach which is good</t>
  </si>
  <si>
    <t>Final point- needs OPEX but I suspect you will be looking at that. Let me know if you need any day rates for vessels and/or typical balance of plant O&amp;M costs or high level assumptions for failure rates and major intervention assumptions for failures of the winch equipment.</t>
  </si>
  <si>
    <t>Sensible approach - checks out</t>
  </si>
  <si>
    <t>Discount Rate:</t>
  </si>
  <si>
    <t>Direction Sensitivity Setting (Deg)</t>
  </si>
  <si>
    <t>Farm Lifespan:</t>
  </si>
  <si>
    <t>important tables are made cleaned up and made pretty here so that I can put them in the writeup</t>
  </si>
  <si>
    <t>Cable Cost</t>
  </si>
  <si>
    <t>Mooring Cost</t>
  </si>
  <si>
    <t>Winch Cost</t>
  </si>
  <si>
    <t>Total Cost</t>
  </si>
  <si>
    <t>Excursion Range (m)</t>
  </si>
  <si>
    <t>Daily Excursions</t>
  </si>
  <si>
    <t>total mooring cost</t>
  </si>
  <si>
    <t>initial inter-turbine distance (m)</t>
  </si>
  <si>
    <t>Winch Process Energy Cost</t>
  </si>
  <si>
    <t>Mono</t>
  </si>
  <si>
    <t>Downtime scenario</t>
  </si>
  <si>
    <t>Capable of generating while moving</t>
  </si>
  <si>
    <t>Narrow/Bifurcated/Semidiurnal</t>
  </si>
  <si>
    <t>outdated, ignore</t>
  </si>
  <si>
    <t>The following assessments are made or informed by my convesations with Will Brindley and Nigel Robinson, of Apollo Engineering.</t>
  </si>
  <si>
    <t xml:space="preserve">Unhide rows And columns to see calculations </t>
  </si>
  <si>
    <t>Scott Love review points 5/08/24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</si>
</sst>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0.0%"/>
    <numFmt numFmtId="165" formatCode="0.000%"/>
    <numFmt numFmtId="166" formatCode="0.000"/>
    <numFmt numFmtId="167" formatCode="_([$$-409]* #,##0.00_);_([$$-409]* \(#,##0.00\);_([$$-409]* &quot;-&quot;??_);_(@_)"/>
    <numFmt numFmtId="168" formatCode="&quot;$&quot;#,##0.00"/>
    <numFmt numFmtId="169" formatCode="0.0"/>
  </numFmts>
  <fonts count="1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u/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u/>
      <sz val="12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3"/>
      <color rgb="FF333333"/>
      <name val="Calibri"/>
      <family val="2"/>
    </font>
    <font>
      <b/>
      <u/>
      <sz val="20"/>
      <color theme="1"/>
      <name val="Aptos Narrow"/>
      <family val="2"/>
      <scheme val="minor"/>
    </font>
    <font>
      <strike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6E1B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C7A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2" fillId="2" borderId="0" xfId="0" applyFont="1" applyFill="1"/>
    <xf numFmtId="0" fontId="3" fillId="3" borderId="0" xfId="0" applyFont="1" applyFill="1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4" borderId="0" xfId="0" applyFont="1" applyFill="1"/>
    <xf numFmtId="164" fontId="0" fillId="4" borderId="0" xfId="1" applyNumberFormat="1" applyFont="1" applyFill="1"/>
    <xf numFmtId="0" fontId="3" fillId="2" borderId="0" xfId="0" applyFont="1" applyFill="1"/>
    <xf numFmtId="11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0" fillId="5" borderId="0" xfId="0" applyFill="1"/>
    <xf numFmtId="0" fontId="0" fillId="0" borderId="1" xfId="0" applyBorder="1"/>
    <xf numFmtId="0" fontId="5" fillId="0" borderId="0" xfId="0" applyFont="1"/>
    <xf numFmtId="0" fontId="4" fillId="4" borderId="0" xfId="0" applyFont="1" applyFill="1"/>
    <xf numFmtId="0" fontId="7" fillId="6" borderId="0" xfId="0" applyFont="1" applyFill="1"/>
    <xf numFmtId="0" fontId="0" fillId="6" borderId="0" xfId="0" applyFill="1"/>
    <xf numFmtId="0" fontId="7" fillId="8" borderId="0" xfId="0" applyFont="1" applyFill="1"/>
    <xf numFmtId="0" fontId="0" fillId="8" borderId="0" xfId="0" applyFill="1"/>
    <xf numFmtId="0" fontId="0" fillId="9" borderId="0" xfId="0" applyFill="1"/>
    <xf numFmtId="0" fontId="6" fillId="3" borderId="0" xfId="0" applyFont="1" applyFill="1"/>
    <xf numFmtId="0" fontId="0" fillId="10" borderId="0" xfId="0" applyFill="1"/>
    <xf numFmtId="0" fontId="4" fillId="2" borderId="0" xfId="0" applyFont="1" applyFill="1"/>
    <xf numFmtId="0" fontId="0" fillId="12" borderId="0" xfId="0" applyFill="1"/>
    <xf numFmtId="0" fontId="6" fillId="4" borderId="2" xfId="0" applyFont="1" applyFill="1" applyBorder="1"/>
    <xf numFmtId="0" fontId="0" fillId="12" borderId="3" xfId="0" applyFill="1" applyBorder="1"/>
    <xf numFmtId="0" fontId="0" fillId="12" borderId="4" xfId="0" applyFill="1" applyBorder="1"/>
    <xf numFmtId="0" fontId="0" fillId="4" borderId="6" xfId="0" applyFill="1" applyBorder="1"/>
    <xf numFmtId="0" fontId="4" fillId="4" borderId="5" xfId="0" applyFont="1" applyFill="1" applyBorder="1"/>
    <xf numFmtId="0" fontId="4" fillId="4" borderId="6" xfId="0" applyFont="1" applyFill="1" applyBorder="1"/>
    <xf numFmtId="165" fontId="0" fillId="7" borderId="5" xfId="1" applyNumberFormat="1" applyFont="1" applyFill="1" applyBorder="1"/>
    <xf numFmtId="165" fontId="0" fillId="7" borderId="0" xfId="1" applyNumberFormat="1" applyFont="1" applyFill="1" applyBorder="1"/>
    <xf numFmtId="165" fontId="0" fillId="7" borderId="6" xfId="1" applyNumberFormat="1" applyFont="1" applyFill="1" applyBorder="1"/>
    <xf numFmtId="165" fontId="0" fillId="11" borderId="6" xfId="1" applyNumberFormat="1" applyFont="1" applyFill="1" applyBorder="1"/>
    <xf numFmtId="165" fontId="0" fillId="11" borderId="0" xfId="1" applyNumberFormat="1" applyFont="1" applyFill="1" applyBorder="1"/>
    <xf numFmtId="165" fontId="0" fillId="7" borderId="7" xfId="1" applyNumberFormat="1" applyFont="1" applyFill="1" applyBorder="1"/>
    <xf numFmtId="165" fontId="0" fillId="7" borderId="1" xfId="1" applyNumberFormat="1" applyFont="1" applyFill="1" applyBorder="1"/>
    <xf numFmtId="165" fontId="0" fillId="11" borderId="1" xfId="1" applyNumberFormat="1" applyFont="1" applyFill="1" applyBorder="1"/>
    <xf numFmtId="165" fontId="0" fillId="11" borderId="8" xfId="1" applyNumberFormat="1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166" fontId="0" fillId="4" borderId="5" xfId="1" applyNumberFormat="1" applyFont="1" applyFill="1" applyBorder="1"/>
    <xf numFmtId="166" fontId="0" fillId="4" borderId="0" xfId="1" applyNumberFormat="1" applyFont="1" applyFill="1" applyBorder="1"/>
    <xf numFmtId="166" fontId="0" fillId="4" borderId="6" xfId="1" applyNumberFormat="1" applyFont="1" applyFill="1" applyBorder="1"/>
    <xf numFmtId="166" fontId="0" fillId="11" borderId="6" xfId="1" applyNumberFormat="1" applyFont="1" applyFill="1" applyBorder="1"/>
    <xf numFmtId="166" fontId="0" fillId="11" borderId="0" xfId="1" applyNumberFormat="1" applyFont="1" applyFill="1" applyBorder="1"/>
    <xf numFmtId="166" fontId="0" fillId="4" borderId="7" xfId="1" applyNumberFormat="1" applyFont="1" applyFill="1" applyBorder="1"/>
    <xf numFmtId="166" fontId="0" fillId="4" borderId="1" xfId="1" applyNumberFormat="1" applyFont="1" applyFill="1" applyBorder="1"/>
    <xf numFmtId="166" fontId="0" fillId="11" borderId="1" xfId="1" applyNumberFormat="1" applyFont="1" applyFill="1" applyBorder="1"/>
    <xf numFmtId="166" fontId="0" fillId="11" borderId="8" xfId="1" applyNumberFormat="1" applyFont="1" applyFill="1" applyBorder="1"/>
    <xf numFmtId="0" fontId="0" fillId="12" borderId="5" xfId="0" applyFill="1" applyBorder="1"/>
    <xf numFmtId="0" fontId="0" fillId="12" borderId="7" xfId="0" applyFill="1" applyBorder="1"/>
    <xf numFmtId="0" fontId="2" fillId="4" borderId="5" xfId="0" applyFont="1" applyFill="1" applyBorder="1"/>
    <xf numFmtId="0" fontId="2" fillId="7" borderId="5" xfId="0" applyFont="1" applyFill="1" applyBorder="1"/>
    <xf numFmtId="0" fontId="3" fillId="4" borderId="2" xfId="0" applyFont="1" applyFill="1" applyBorder="1"/>
    <xf numFmtId="0" fontId="0" fillId="4" borderId="3" xfId="0" applyFill="1" applyBorder="1"/>
    <xf numFmtId="0" fontId="2" fillId="12" borderId="5" xfId="0" applyFont="1" applyFill="1" applyBorder="1"/>
    <xf numFmtId="0" fontId="2" fillId="12" borderId="0" xfId="0" applyFont="1" applyFill="1"/>
    <xf numFmtId="0" fontId="2" fillId="12" borderId="6" xfId="0" applyFont="1" applyFill="1" applyBorder="1"/>
    <xf numFmtId="22" fontId="0" fillId="0" borderId="0" xfId="0" applyNumberFormat="1"/>
    <xf numFmtId="168" fontId="0" fillId="12" borderId="5" xfId="1" applyNumberFormat="1" applyFont="1" applyFill="1" applyBorder="1"/>
    <xf numFmtId="168" fontId="0" fillId="12" borderId="7" xfId="1" applyNumberFormat="1" applyFont="1" applyFill="1" applyBorder="1"/>
    <xf numFmtId="167" fontId="0" fillId="12" borderId="0" xfId="0" applyNumberFormat="1" applyFill="1"/>
    <xf numFmtId="167" fontId="0" fillId="12" borderId="1" xfId="0" applyNumberFormat="1" applyFill="1" applyBorder="1"/>
    <xf numFmtId="168" fontId="0" fillId="12" borderId="0" xfId="1" applyNumberFormat="1" applyFont="1" applyFill="1" applyBorder="1"/>
    <xf numFmtId="168" fontId="0" fillId="12" borderId="1" xfId="1" applyNumberFormat="1" applyFont="1" applyFill="1" applyBorder="1"/>
    <xf numFmtId="168" fontId="0" fillId="11" borderId="0" xfId="1" applyNumberFormat="1" applyFont="1" applyFill="1" applyBorder="1"/>
    <xf numFmtId="168" fontId="0" fillId="11" borderId="1" xfId="1" applyNumberFormat="1" applyFont="1" applyFill="1" applyBorder="1"/>
    <xf numFmtId="9" fontId="0" fillId="3" borderId="0" xfId="1" applyFont="1" applyFill="1"/>
    <xf numFmtId="168" fontId="0" fillId="0" borderId="0" xfId="0" applyNumberFormat="1"/>
    <xf numFmtId="0" fontId="2" fillId="12" borderId="2" xfId="0" applyFont="1" applyFill="1" applyBorder="1"/>
    <xf numFmtId="0" fontId="2" fillId="12" borderId="3" xfId="0" applyFont="1" applyFill="1" applyBorder="1"/>
    <xf numFmtId="0" fontId="2" fillId="12" borderId="4" xfId="0" applyFont="1" applyFill="1" applyBorder="1"/>
    <xf numFmtId="168" fontId="0" fillId="12" borderId="5" xfId="0" applyNumberFormat="1" applyFill="1" applyBorder="1"/>
    <xf numFmtId="168" fontId="0" fillId="12" borderId="0" xfId="0" applyNumberFormat="1" applyFill="1"/>
    <xf numFmtId="168" fontId="0" fillId="12" borderId="6" xfId="0" applyNumberFormat="1" applyFill="1" applyBorder="1"/>
    <xf numFmtId="168" fontId="0" fillId="12" borderId="7" xfId="0" applyNumberFormat="1" applyFill="1" applyBorder="1"/>
    <xf numFmtId="168" fontId="0" fillId="12" borderId="1" xfId="0" applyNumberFormat="1" applyFill="1" applyBorder="1"/>
    <xf numFmtId="168" fontId="0" fillId="12" borderId="8" xfId="0" applyNumberFormat="1" applyFill="1" applyBorder="1"/>
    <xf numFmtId="0" fontId="4" fillId="4" borderId="2" xfId="0" applyFont="1" applyFill="1" applyBorder="1"/>
    <xf numFmtId="0" fontId="3" fillId="12" borderId="5" xfId="0" applyFont="1" applyFill="1" applyBorder="1"/>
    <xf numFmtId="0" fontId="3" fillId="12" borderId="0" xfId="0" applyFont="1" applyFill="1"/>
    <xf numFmtId="0" fontId="6" fillId="4" borderId="5" xfId="0" applyFont="1" applyFill="1" applyBorder="1"/>
    <xf numFmtId="0" fontId="6" fillId="4" borderId="0" xfId="0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8" xfId="0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1" xfId="0" applyFill="1" applyBorder="1"/>
    <xf numFmtId="168" fontId="0" fillId="2" borderId="0" xfId="0" applyNumberFormat="1" applyFill="1"/>
    <xf numFmtId="0" fontId="2" fillId="4" borderId="3" xfId="0" applyFont="1" applyFill="1" applyBorder="1"/>
    <xf numFmtId="0" fontId="0" fillId="0" borderId="0" xfId="0" applyAlignment="1">
      <alignment horizontal="right"/>
    </xf>
    <xf numFmtId="0" fontId="4" fillId="0" borderId="0" xfId="0" applyFont="1"/>
    <xf numFmtId="44" fontId="0" fillId="0" borderId="0" xfId="2" applyFont="1"/>
    <xf numFmtId="44" fontId="0" fillId="0" borderId="0" xfId="0" applyNumberFormat="1"/>
    <xf numFmtId="168" fontId="0" fillId="12" borderId="2" xfId="1" applyNumberFormat="1" applyFont="1" applyFill="1" applyBorder="1"/>
    <xf numFmtId="168" fontId="0" fillId="12" borderId="3" xfId="1" applyNumberFormat="1" applyFont="1" applyFill="1" applyBorder="1"/>
    <xf numFmtId="9" fontId="0" fillId="12" borderId="0" xfId="1" applyFont="1" applyFill="1" applyBorder="1"/>
    <xf numFmtId="9" fontId="0" fillId="12" borderId="6" xfId="1" applyFont="1" applyFill="1" applyBorder="1"/>
    <xf numFmtId="9" fontId="0" fillId="12" borderId="1" xfId="1" applyFont="1" applyFill="1" applyBorder="1"/>
    <xf numFmtId="9" fontId="0" fillId="12" borderId="8" xfId="1" applyFont="1" applyFill="1" applyBorder="1"/>
    <xf numFmtId="9" fontId="0" fillId="12" borderId="5" xfId="1" applyFont="1" applyFill="1" applyBorder="1"/>
    <xf numFmtId="9" fontId="0" fillId="12" borderId="7" xfId="1" applyFont="1" applyFill="1" applyBorder="1"/>
    <xf numFmtId="44" fontId="0" fillId="2" borderId="0" xfId="2" applyFont="1" applyFill="1" applyBorder="1"/>
    <xf numFmtId="9" fontId="0" fillId="0" borderId="0" xfId="0" applyNumberFormat="1"/>
    <xf numFmtId="168" fontId="0" fillId="0" borderId="5" xfId="2" applyNumberFormat="1" applyFont="1" applyFill="1" applyBorder="1"/>
    <xf numFmtId="0" fontId="9" fillId="4" borderId="3" xfId="0" applyFont="1" applyFill="1" applyBorder="1"/>
    <xf numFmtId="0" fontId="3" fillId="4" borderId="3" xfId="0" applyFont="1" applyFill="1" applyBorder="1"/>
    <xf numFmtId="165" fontId="0" fillId="7" borderId="8" xfId="1" applyNumberFormat="1" applyFont="1" applyFill="1" applyBorder="1"/>
    <xf numFmtId="168" fontId="0" fillId="12" borderId="2" xfId="2" applyNumberFormat="1" applyFont="1" applyFill="1" applyBorder="1"/>
    <xf numFmtId="0" fontId="0" fillId="12" borderId="6" xfId="0" applyFill="1" applyBorder="1"/>
    <xf numFmtId="2" fontId="0" fillId="12" borderId="6" xfId="0" applyNumberFormat="1" applyFill="1" applyBorder="1" applyAlignment="1">
      <alignment horizontal="right"/>
    </xf>
    <xf numFmtId="2" fontId="0" fillId="12" borderId="8" xfId="0" applyNumberFormat="1" applyFill="1" applyBorder="1" applyAlignment="1">
      <alignment horizontal="right"/>
    </xf>
    <xf numFmtId="2" fontId="0" fillId="12" borderId="0" xfId="0" applyNumberFormat="1" applyFill="1" applyAlignment="1">
      <alignment horizontal="right"/>
    </xf>
    <xf numFmtId="2" fontId="0" fillId="12" borderId="1" xfId="0" applyNumberFormat="1" applyFill="1" applyBorder="1" applyAlignment="1">
      <alignment horizontal="right"/>
    </xf>
    <xf numFmtId="0" fontId="3" fillId="2" borderId="2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169" fontId="0" fillId="2" borderId="0" xfId="0" applyNumberFormat="1" applyFill="1"/>
    <xf numFmtId="169" fontId="0" fillId="2" borderId="6" xfId="0" applyNumberFormat="1" applyFill="1" applyBorder="1"/>
    <xf numFmtId="169" fontId="0" fillId="2" borderId="1" xfId="0" applyNumberFormat="1" applyFill="1" applyBorder="1"/>
    <xf numFmtId="169" fontId="0" fillId="2" borderId="8" xfId="0" applyNumberFormat="1" applyFill="1" applyBorder="1"/>
    <xf numFmtId="169" fontId="0" fillId="2" borderId="5" xfId="0" applyNumberFormat="1" applyFill="1" applyBorder="1"/>
    <xf numFmtId="169" fontId="0" fillId="2" borderId="7" xfId="0" applyNumberFormat="1" applyFill="1" applyBorder="1"/>
    <xf numFmtId="0" fontId="2" fillId="2" borderId="2" xfId="0" applyFont="1" applyFill="1" applyBorder="1"/>
    <xf numFmtId="44" fontId="10" fillId="2" borderId="0" xfId="2" applyFont="1" applyFill="1" applyBorder="1"/>
    <xf numFmtId="0" fontId="0" fillId="13" borderId="0" xfId="0" applyFill="1"/>
    <xf numFmtId="164" fontId="0" fillId="0" borderId="0" xfId="1" applyNumberFormat="1" applyFont="1" applyFill="1"/>
    <xf numFmtId="2" fontId="8" fillId="0" borderId="0" xfId="0" applyNumberFormat="1" applyFont="1"/>
    <xf numFmtId="0" fontId="2" fillId="2" borderId="7" xfId="0" applyFont="1" applyFill="1" applyBorder="1"/>
    <xf numFmtId="2" fontId="8" fillId="0" borderId="1" xfId="0" applyNumberFormat="1" applyFont="1" applyBorder="1"/>
    <xf numFmtId="0" fontId="0" fillId="3" borderId="1" xfId="0" applyFill="1" applyBorder="1"/>
    <xf numFmtId="2" fontId="0" fillId="12" borderId="5" xfId="0" applyNumberFormat="1" applyFill="1" applyBorder="1" applyAlignment="1">
      <alignment horizontal="right"/>
    </xf>
    <xf numFmtId="2" fontId="0" fillId="12" borderId="7" xfId="0" applyNumberFormat="1" applyFill="1" applyBorder="1" applyAlignment="1">
      <alignment horizontal="right"/>
    </xf>
    <xf numFmtId="1" fontId="0" fillId="13" borderId="0" xfId="0" applyNumberFormat="1" applyFill="1"/>
    <xf numFmtId="9" fontId="0" fillId="0" borderId="0" xfId="1" applyFont="1" applyFill="1" applyBorder="1"/>
    <xf numFmtId="2" fontId="0" fillId="0" borderId="0" xfId="2" applyNumberFormat="1" applyFont="1" applyFill="1" applyBorder="1"/>
    <xf numFmtId="44" fontId="0" fillId="0" borderId="0" xfId="2" applyFont="1" applyFill="1" applyBorder="1"/>
    <xf numFmtId="0" fontId="0" fillId="0" borderId="0" xfId="2" applyNumberFormat="1" applyFont="1"/>
    <xf numFmtId="0" fontId="0" fillId="0" borderId="0" xfId="0" applyAlignment="1">
      <alignment wrapText="1"/>
    </xf>
    <xf numFmtId="0" fontId="0" fillId="0" borderId="0" xfId="2" applyNumberFormat="1" applyFont="1" applyAlignment="1">
      <alignment wrapText="1"/>
    </xf>
    <xf numFmtId="44" fontId="0" fillId="13" borderId="0" xfId="2" applyFont="1" applyFill="1"/>
    <xf numFmtId="0" fontId="0" fillId="0" borderId="9" xfId="0" applyBorder="1"/>
    <xf numFmtId="0" fontId="0" fillId="0" borderId="10" xfId="0" applyBorder="1"/>
    <xf numFmtId="0" fontId="0" fillId="13" borderId="6" xfId="0" applyFill="1" applyBorder="1"/>
    <xf numFmtId="0" fontId="0" fillId="13" borderId="0" xfId="2" applyNumberFormat="1" applyFont="1" applyFill="1"/>
    <xf numFmtId="44" fontId="0" fillId="5" borderId="0" xfId="0" applyNumberFormat="1" applyFill="1"/>
    <xf numFmtId="10" fontId="0" fillId="0" borderId="0" xfId="1" applyNumberFormat="1" applyFont="1"/>
    <xf numFmtId="164" fontId="0" fillId="13" borderId="0" xfId="1" applyNumberFormat="1" applyFont="1" applyFill="1"/>
    <xf numFmtId="0" fontId="0" fillId="0" borderId="0" xfId="1" applyNumberFormat="1" applyFont="1"/>
    <xf numFmtId="0" fontId="0" fillId="11" borderId="0" xfId="0" applyFill="1"/>
    <xf numFmtId="164" fontId="0" fillId="11" borderId="0" xfId="1" applyNumberFormat="1" applyFont="1" applyFill="1"/>
    <xf numFmtId="44" fontId="0" fillId="11" borderId="0" xfId="2" applyFont="1" applyFill="1"/>
    <xf numFmtId="0" fontId="0" fillId="11" borderId="0" xfId="2" applyNumberFormat="1" applyFont="1" applyFill="1"/>
    <xf numFmtId="10" fontId="0" fillId="11" borderId="0" xfId="1" applyNumberFormat="1" applyFont="1" applyFill="1"/>
    <xf numFmtId="0" fontId="0" fillId="11" borderId="0" xfId="1" applyNumberFormat="1" applyFont="1" applyFill="1"/>
    <xf numFmtId="10" fontId="0" fillId="8" borderId="0" xfId="1" applyNumberFormat="1" applyFont="1" applyFill="1"/>
    <xf numFmtId="0" fontId="12" fillId="6" borderId="0" xfId="0" applyFont="1" applyFill="1"/>
    <xf numFmtId="0" fontId="4" fillId="2" borderId="5" xfId="0" applyFont="1" applyFill="1" applyBorder="1"/>
    <xf numFmtId="168" fontId="0" fillId="12" borderId="6" xfId="1" applyNumberFormat="1" applyFont="1" applyFill="1" applyBorder="1"/>
    <xf numFmtId="168" fontId="0" fillId="12" borderId="8" xfId="1" applyNumberFormat="1" applyFont="1" applyFill="1" applyBorder="1"/>
    <xf numFmtId="0" fontId="3" fillId="2" borderId="3" xfId="0" applyFont="1" applyFill="1" applyBorder="1"/>
    <xf numFmtId="167" fontId="0" fillId="2" borderId="3" xfId="0" applyNumberFormat="1" applyFill="1" applyBorder="1"/>
    <xf numFmtId="0" fontId="4" fillId="2" borderId="6" xfId="0" applyFont="1" applyFill="1" applyBorder="1"/>
    <xf numFmtId="0" fontId="0" fillId="2" borderId="6" xfId="0" applyFill="1" applyBorder="1"/>
    <xf numFmtId="168" fontId="0" fillId="0" borderId="0" xfId="2" applyNumberFormat="1" applyFont="1" applyBorder="1"/>
    <xf numFmtId="168" fontId="0" fillId="0" borderId="6" xfId="2" applyNumberFormat="1" applyFont="1" applyBorder="1"/>
    <xf numFmtId="0" fontId="0" fillId="0" borderId="5" xfId="0" applyBorder="1"/>
    <xf numFmtId="164" fontId="0" fillId="2" borderId="0" xfId="1" applyNumberFormat="1" applyFont="1" applyFill="1" applyBorder="1"/>
    <xf numFmtId="168" fontId="0" fillId="0" borderId="6" xfId="0" applyNumberFormat="1" applyBorder="1"/>
    <xf numFmtId="0" fontId="4" fillId="2" borderId="7" xfId="0" applyFont="1" applyFill="1" applyBorder="1"/>
    <xf numFmtId="168" fontId="0" fillId="0" borderId="1" xfId="0" applyNumberFormat="1" applyBorder="1"/>
    <xf numFmtId="168" fontId="0" fillId="0" borderId="8" xfId="0" applyNumberFormat="1" applyBorder="1"/>
    <xf numFmtId="164" fontId="0" fillId="2" borderId="0" xfId="1" applyNumberFormat="1" applyFont="1" applyFill="1" applyBorder="1" applyAlignment="1">
      <alignment horizontal="left"/>
    </xf>
    <xf numFmtId="0" fontId="0" fillId="2" borderId="0" xfId="0" applyFill="1" applyAlignment="1">
      <alignment horizontal="left"/>
    </xf>
    <xf numFmtId="44" fontId="0" fillId="0" borderId="0" xfId="2" applyFont="1" applyFill="1"/>
    <xf numFmtId="0" fontId="0" fillId="0" borderId="0" xfId="2" applyNumberFormat="1" applyFont="1" applyBorder="1"/>
    <xf numFmtId="0" fontId="0" fillId="0" borderId="0" xfId="2" applyNumberFormat="1" applyFont="1" applyBorder="1" applyAlignment="1">
      <alignment wrapText="1"/>
    </xf>
    <xf numFmtId="0" fontId="0" fillId="0" borderId="6" xfId="2" applyNumberFormat="1" applyFont="1" applyBorder="1" applyAlignment="1">
      <alignment wrapText="1"/>
    </xf>
    <xf numFmtId="0" fontId="0" fillId="0" borderId="6" xfId="2" applyNumberFormat="1" applyFont="1" applyBorder="1"/>
    <xf numFmtId="44" fontId="0" fillId="13" borderId="0" xfId="2" applyFont="1" applyFill="1" applyBorder="1"/>
    <xf numFmtId="44" fontId="0" fillId="0" borderId="0" xfId="2" applyFont="1" applyBorder="1"/>
    <xf numFmtId="44" fontId="0" fillId="0" borderId="6" xfId="2" applyFont="1" applyBorder="1"/>
    <xf numFmtId="0" fontId="0" fillId="13" borderId="0" xfId="2" applyNumberFormat="1" applyFont="1" applyFill="1" applyBorder="1"/>
    <xf numFmtId="44" fontId="0" fillId="0" borderId="6" xfId="0" applyNumberFormat="1" applyBorder="1"/>
    <xf numFmtId="44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0" xfId="0" applyFill="1" applyAlignment="1">
      <alignment wrapText="1"/>
    </xf>
    <xf numFmtId="0" fontId="0" fillId="11" borderId="3" xfId="0" applyFill="1" applyBorder="1"/>
    <xf numFmtId="0" fontId="0" fillId="11" borderId="4" xfId="0" applyFill="1" applyBorder="1"/>
    <xf numFmtId="0" fontId="0" fillId="0" borderId="0" xfId="0" applyBorder="1"/>
    <xf numFmtId="0" fontId="0" fillId="11" borderId="0" xfId="0" applyFill="1" applyBorder="1"/>
    <xf numFmtId="0" fontId="0" fillId="11" borderId="6" xfId="0" applyFill="1" applyBorder="1"/>
    <xf numFmtId="0" fontId="0" fillId="0" borderId="5" xfId="2" applyNumberFormat="1" applyFont="1" applyBorder="1"/>
    <xf numFmtId="0" fontId="0" fillId="11" borderId="0" xfId="2" applyNumberFormat="1" applyFont="1" applyFill="1" applyBorder="1"/>
    <xf numFmtId="0" fontId="0" fillId="8" borderId="5" xfId="0" applyFill="1" applyBorder="1"/>
    <xf numFmtId="0" fontId="0" fillId="8" borderId="0" xfId="0" applyFill="1" applyBorder="1"/>
    <xf numFmtId="0" fontId="0" fillId="8" borderId="6" xfId="0" applyFill="1" applyBorder="1"/>
    <xf numFmtId="10" fontId="0" fillId="8" borderId="5" xfId="1" applyNumberFormat="1" applyFont="1" applyFill="1" applyBorder="1"/>
    <xf numFmtId="10" fontId="0" fillId="8" borderId="0" xfId="1" applyNumberFormat="1" applyFont="1" applyFill="1" applyBorder="1"/>
    <xf numFmtId="10" fontId="0" fillId="8" borderId="6" xfId="1" applyNumberFormat="1" applyFont="1" applyFill="1" applyBorder="1"/>
    <xf numFmtId="0" fontId="0" fillId="0" borderId="5" xfId="1" applyNumberFormat="1" applyFont="1" applyBorder="1"/>
    <xf numFmtId="0" fontId="0" fillId="0" borderId="0" xfId="1" applyNumberFormat="1" applyFont="1" applyBorder="1"/>
    <xf numFmtId="0" fontId="0" fillId="11" borderId="0" xfId="1" applyNumberFormat="1" applyFont="1" applyFill="1" applyBorder="1"/>
    <xf numFmtId="0" fontId="0" fillId="11" borderId="6" xfId="1" applyNumberFormat="1" applyFont="1" applyFill="1" applyBorder="1"/>
    <xf numFmtId="10" fontId="0" fillId="0" borderId="7" xfId="1" applyNumberFormat="1" applyFont="1" applyBorder="1"/>
    <xf numFmtId="10" fontId="0" fillId="0" borderId="1" xfId="1" applyNumberFormat="1" applyFont="1" applyBorder="1"/>
    <xf numFmtId="10" fontId="0" fillId="11" borderId="1" xfId="1" applyNumberFormat="1" applyFont="1" applyFill="1" applyBorder="1"/>
    <xf numFmtId="10" fontId="0" fillId="11" borderId="8" xfId="1" applyNumberFormat="1" applyFont="1" applyFill="1" applyBorder="1"/>
    <xf numFmtId="168" fontId="0" fillId="5" borderId="0" xfId="0" applyNumberFormat="1" applyFill="1"/>
    <xf numFmtId="168" fontId="0" fillId="5" borderId="0" xfId="2" applyNumberFormat="1" applyFont="1" applyFill="1" applyBorder="1"/>
    <xf numFmtId="168" fontId="0" fillId="5" borderId="1" xfId="0" applyNumberFormat="1" applyFill="1" applyBorder="1"/>
    <xf numFmtId="168" fontId="0" fillId="11" borderId="6" xfId="0" applyNumberFormat="1" applyFill="1" applyBorder="1"/>
    <xf numFmtId="168" fontId="0" fillId="11" borderId="8" xfId="0" applyNumberFormat="1" applyFill="1" applyBorder="1"/>
    <xf numFmtId="168" fontId="0" fillId="11" borderId="0" xfId="0" applyNumberFormat="1" applyFill="1"/>
    <xf numFmtId="168" fontId="0" fillId="11" borderId="1" xfId="0" applyNumberFormat="1" applyFill="1" applyBorder="1"/>
    <xf numFmtId="168" fontId="0" fillId="11" borderId="6" xfId="2" applyNumberFormat="1" applyFont="1" applyFill="1" applyBorder="1"/>
    <xf numFmtId="168" fontId="0" fillId="11" borderId="0" xfId="2" applyNumberFormat="1" applyFont="1" applyFill="1" applyBorder="1"/>
    <xf numFmtId="0" fontId="0" fillId="2" borderId="5" xfId="0" applyFill="1" applyBorder="1" applyAlignment="1">
      <alignment wrapText="1"/>
    </xf>
    <xf numFmtId="0" fontId="2" fillId="2" borderId="3" xfId="0" applyFont="1" applyFill="1" applyBorder="1"/>
    <xf numFmtId="0" fontId="0" fillId="2" borderId="0" xfId="2" applyNumberFormat="1" applyFont="1" applyFill="1" applyBorder="1"/>
    <xf numFmtId="44" fontId="0" fillId="5" borderId="6" xfId="2" applyFont="1" applyFill="1" applyBorder="1"/>
    <xf numFmtId="44" fontId="0" fillId="5" borderId="6" xfId="0" applyNumberFormat="1" applyFill="1" applyBorder="1"/>
    <xf numFmtId="44" fontId="0" fillId="5" borderId="8" xfId="0" applyNumberFormat="1" applyFill="1" applyBorder="1"/>
    <xf numFmtId="44" fontId="0" fillId="11" borderId="0" xfId="2" applyFont="1" applyFill="1" applyBorder="1"/>
    <xf numFmtId="44" fontId="0" fillId="11" borderId="0" xfId="0" applyNumberFormat="1" applyFill="1"/>
    <xf numFmtId="44" fontId="0" fillId="11" borderId="1" xfId="0" applyNumberFormat="1" applyFill="1" applyBorder="1"/>
    <xf numFmtId="0" fontId="0" fillId="2" borderId="2" xfId="0" applyFill="1" applyBorder="1"/>
    <xf numFmtId="0" fontId="14" fillId="11" borderId="0" xfId="0" applyFont="1" applyFill="1" applyAlignment="1">
      <alignment horizontal="center"/>
    </xf>
    <xf numFmtId="0" fontId="13" fillId="11" borderId="0" xfId="0" applyFont="1" applyFill="1" applyAlignment="1">
      <alignment horizontal="center" wrapText="1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C7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microsoft.com/office/2017/06/relationships/rdSupportingPropertyBagStructure" Target="richData/rdsupportingpropertybag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ichStyles" Target="richData/rich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microsoft.com/office/2017/06/relationships/rdSupportingPropertyBag" Target="richData/rdsupporting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AEP Upside Vs. Control</a:t>
            </a:r>
            <a:r>
              <a:rPr lang="en-US" baseline="0"/>
              <a:t> Direction Sensitivity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'First Pywake Outputs'!$D$2:$I$2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Outputs'!$D$3:$I$3</c:f>
              <c:numCache>
                <c:formatCode>0.0%</c:formatCode>
                <c:ptCount val="6"/>
                <c:pt idx="0">
                  <c:v>2.3E-2</c:v>
                </c:pt>
                <c:pt idx="1">
                  <c:v>2.3E-2</c:v>
                </c:pt>
                <c:pt idx="2">
                  <c:v>2.3E-2</c:v>
                </c:pt>
                <c:pt idx="3">
                  <c:v>2.4E-2</c:v>
                </c:pt>
                <c:pt idx="4">
                  <c:v>2.3E-2</c:v>
                </c:pt>
                <c:pt idx="5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2-5044-9974-D38B65765338}"/>
            </c:ext>
          </c:extLst>
        </c:ser>
        <c:ser>
          <c:idx val="1"/>
          <c:order val="1"/>
          <c:tx>
            <c:strRef>
              <c:f>'First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'First Pywake Outputs'!$D$2:$I$2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Outputs'!$D$5:$I$5</c:f>
              <c:numCache>
                <c:formatCode>0.0%</c:formatCode>
                <c:ptCount val="6"/>
                <c:pt idx="0">
                  <c:v>1.6E-2</c:v>
                </c:pt>
                <c:pt idx="1">
                  <c:v>1.2999999999999999E-2</c:v>
                </c:pt>
                <c:pt idx="2">
                  <c:v>0.01</c:v>
                </c:pt>
                <c:pt idx="3">
                  <c:v>2E-3</c:v>
                </c:pt>
                <c:pt idx="4">
                  <c:v>1E-3</c:v>
                </c:pt>
                <c:pt idx="5">
                  <c:v>-0.02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2-5044-9974-D38B65765338}"/>
            </c:ext>
          </c:extLst>
        </c:ser>
        <c:ser>
          <c:idx val="2"/>
          <c:order val="2"/>
          <c:tx>
            <c:strRef>
              <c:f>'First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'First Pywake Outputs'!$D$2:$I$2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Outputs'!$D$4:$I$4</c:f>
              <c:numCache>
                <c:formatCode>0.0%</c:formatCode>
                <c:ptCount val="6"/>
                <c:pt idx="0">
                  <c:v>2.3E-2</c:v>
                </c:pt>
                <c:pt idx="1">
                  <c:v>2.3E-2</c:v>
                </c:pt>
                <c:pt idx="2">
                  <c:v>2.3E-2</c:v>
                </c:pt>
                <c:pt idx="3">
                  <c:v>2.1000000000000001E-2</c:v>
                </c:pt>
                <c:pt idx="4">
                  <c:v>1.9E-2</c:v>
                </c:pt>
                <c:pt idx="5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2-5044-9974-D38B65765338}"/>
            </c:ext>
          </c:extLst>
        </c:ser>
        <c:ser>
          <c:idx val="3"/>
          <c:order val="3"/>
          <c:tx>
            <c:strRef>
              <c:f>'First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'First Pywake Outputs'!$D$2:$I$2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Outputs'!$D$7:$I$7</c:f>
              <c:numCache>
                <c:formatCode>0.0%</c:formatCode>
                <c:ptCount val="6"/>
                <c:pt idx="0">
                  <c:v>1.2E-2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8.9999999999999993E-3</c:v>
                </c:pt>
                <c:pt idx="4">
                  <c:v>-0.08</c:v>
                </c:pt>
                <c:pt idx="5">
                  <c:v>-7.9000000000000001E-2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62-5044-9974-D38B65765338}"/>
            </c:ext>
          </c:extLst>
        </c:ser>
        <c:ser>
          <c:idx val="4"/>
          <c:order val="4"/>
          <c:tx>
            <c:strRef>
              <c:f>'First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'First Pywake Outputs'!$D$2:$I$2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Outputs'!$D$8:$I$8</c:f>
              <c:numCache>
                <c:formatCode>0.0%</c:formatCode>
                <c:ptCount val="6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-1.2999999999999999E-2</c:v>
                </c:pt>
                <c:pt idx="4">
                  <c:v>-8.6999999999999994E-2</c:v>
                </c:pt>
                <c:pt idx="5">
                  <c:v>-8.3000000000000004E-2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62-5044-9974-D38B65765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106095"/>
        <c:axId val="2106468959"/>
      </c:barChart>
      <c:catAx>
        <c:axId val="210610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Control</a:t>
                </a:r>
                <a:r>
                  <a:rPr lang="en-US" baseline="0"/>
                  <a:t> 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68959"/>
        <c:crosses val="autoZero"/>
        <c:auto val="1"/>
        <c:lblAlgn val="ctr"/>
        <c:lblOffset val="100"/>
        <c:noMultiLvlLbl val="0"/>
      </c:catAx>
      <c:valAx>
        <c:axId val="21064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AEP</a:t>
                </a:r>
                <a:r>
                  <a:rPr lang="en-US" baseline="0"/>
                  <a:t> Upside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0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Movement Frequency Vs. Control</a:t>
            </a:r>
            <a:r>
              <a:rPr lang="en-US" baseline="0"/>
              <a:t> Direction Sensitivity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Outputs'!$K$3:$P$3</c:f>
              <c:numCache>
                <c:formatCode>General</c:formatCode>
                <c:ptCount val="6"/>
                <c:pt idx="0">
                  <c:v>3215</c:v>
                </c:pt>
                <c:pt idx="1">
                  <c:v>1826</c:v>
                </c:pt>
                <c:pt idx="2">
                  <c:v>1291</c:v>
                </c:pt>
                <c:pt idx="3">
                  <c:v>929</c:v>
                </c:pt>
                <c:pt idx="4">
                  <c:v>633</c:v>
                </c:pt>
                <c:pt idx="5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A-A042-883B-FC86D51FCB5C}"/>
            </c:ext>
          </c:extLst>
        </c:ser>
        <c:ser>
          <c:idx val="1"/>
          <c:order val="1"/>
          <c:tx>
            <c:strRef>
              <c:f>'First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Outputs'!$K$5:$P$5</c:f>
              <c:numCache>
                <c:formatCode>General</c:formatCode>
                <c:ptCount val="6"/>
                <c:pt idx="0">
                  <c:v>3245</c:v>
                </c:pt>
                <c:pt idx="1">
                  <c:v>1766</c:v>
                </c:pt>
                <c:pt idx="2">
                  <c:v>1110</c:v>
                </c:pt>
                <c:pt idx="3">
                  <c:v>596</c:v>
                </c:pt>
                <c:pt idx="4">
                  <c:v>292</c:v>
                </c:pt>
                <c:pt idx="5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A-A042-883B-FC86D51FCB5C}"/>
            </c:ext>
          </c:extLst>
        </c:ser>
        <c:ser>
          <c:idx val="2"/>
          <c:order val="2"/>
          <c:tx>
            <c:strRef>
              <c:f>'First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Outputs'!$K$4:$P$4</c:f>
              <c:numCache>
                <c:formatCode>General</c:formatCode>
                <c:ptCount val="6"/>
                <c:pt idx="0">
                  <c:v>3070</c:v>
                </c:pt>
                <c:pt idx="1">
                  <c:v>1646</c:v>
                </c:pt>
                <c:pt idx="2">
                  <c:v>1044</c:v>
                </c:pt>
                <c:pt idx="3">
                  <c:v>582</c:v>
                </c:pt>
                <c:pt idx="4">
                  <c:v>314</c:v>
                </c:pt>
                <c:pt idx="5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A-A042-883B-FC86D51FCB5C}"/>
            </c:ext>
          </c:extLst>
        </c:ser>
        <c:ser>
          <c:idx val="5"/>
          <c:order val="3"/>
          <c:tx>
            <c:strRef>
              <c:f>'First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'First Pywake Outputs'!$K$6:$P$6</c:f>
              <c:numCache>
                <c:formatCode>General</c:formatCode>
                <c:ptCount val="6"/>
                <c:pt idx="0">
                  <c:v>3295</c:v>
                </c:pt>
                <c:pt idx="1">
                  <c:v>1967</c:v>
                </c:pt>
                <c:pt idx="2">
                  <c:v>1257</c:v>
                </c:pt>
                <c:pt idx="3">
                  <c:v>726</c:v>
                </c:pt>
                <c:pt idx="4">
                  <c:v>379</c:v>
                </c:pt>
                <c:pt idx="5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E24F-8AEB-153825ED121D}"/>
            </c:ext>
          </c:extLst>
        </c:ser>
        <c:ser>
          <c:idx val="3"/>
          <c:order val="4"/>
          <c:tx>
            <c:strRef>
              <c:f>'First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Outputs'!$K$7:$P$7</c:f>
              <c:numCache>
                <c:formatCode>General</c:formatCode>
                <c:ptCount val="6"/>
                <c:pt idx="0">
                  <c:v>3062</c:v>
                </c:pt>
                <c:pt idx="1">
                  <c:v>1512</c:v>
                </c:pt>
                <c:pt idx="2">
                  <c:v>905</c:v>
                </c:pt>
                <c:pt idx="3">
                  <c:v>472</c:v>
                </c:pt>
                <c:pt idx="4">
                  <c:v>233</c:v>
                </c:pt>
                <c:pt idx="5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FA-A042-883B-FC86D51FCB5C}"/>
            </c:ext>
          </c:extLst>
        </c:ser>
        <c:ser>
          <c:idx val="4"/>
          <c:order val="5"/>
          <c:tx>
            <c:strRef>
              <c:f>'First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Outputs'!$K$8:$P$8</c:f>
              <c:numCache>
                <c:formatCode>General</c:formatCode>
                <c:ptCount val="6"/>
                <c:pt idx="0">
                  <c:v>2825</c:v>
                </c:pt>
                <c:pt idx="1">
                  <c:v>1348</c:v>
                </c:pt>
                <c:pt idx="2">
                  <c:v>804</c:v>
                </c:pt>
                <c:pt idx="3">
                  <c:v>441</c:v>
                </c:pt>
                <c:pt idx="4">
                  <c:v>217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FA-A042-883B-FC86D51F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106095"/>
        <c:axId val="2106468959"/>
      </c:barChart>
      <c:catAx>
        <c:axId val="210610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Control</a:t>
                </a:r>
                <a:r>
                  <a:rPr lang="en-US" baseline="0"/>
                  <a:t> 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68959"/>
        <c:crosses val="autoZero"/>
        <c:auto val="1"/>
        <c:lblAlgn val="ctr"/>
        <c:lblOffset val="100"/>
        <c:noMultiLvlLbl val="0"/>
      </c:catAx>
      <c:valAx>
        <c:axId val="21064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Movements</a:t>
                </a:r>
                <a:r>
                  <a:rPr lang="en-US" baseline="0"/>
                  <a:t> over 6 Month Period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0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Movement Frequency Vs. Control</a:t>
            </a:r>
            <a:r>
              <a:rPr lang="en-US" baseline="0"/>
              <a:t> Direction Sensitivity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4">
                <a:shade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Outputs'!$K$10:$P$10</c:f>
              <c:numCache>
                <c:formatCode>0</c:formatCode>
                <c:ptCount val="6"/>
                <c:pt idx="0">
                  <c:v>17.616438356164384</c:v>
                </c:pt>
                <c:pt idx="1">
                  <c:v>10.005479452054795</c:v>
                </c:pt>
                <c:pt idx="2">
                  <c:v>7.0739726027397261</c:v>
                </c:pt>
                <c:pt idx="3">
                  <c:v>5.0904109589041093</c:v>
                </c:pt>
                <c:pt idx="4">
                  <c:v>3.4684931506849317</c:v>
                </c:pt>
                <c:pt idx="5">
                  <c:v>2.0821917808219177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4-1540-BA13-EC3042CC6FEB}"/>
            </c:ext>
          </c:extLst>
        </c:ser>
        <c:ser>
          <c:idx val="2"/>
          <c:order val="1"/>
          <c:tx>
            <c:strRef>
              <c:f>'First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Outputs'!$K$11:$P$11</c:f>
              <c:numCache>
                <c:formatCode>0</c:formatCode>
                <c:ptCount val="6"/>
                <c:pt idx="0">
                  <c:v>16.82191780821918</c:v>
                </c:pt>
                <c:pt idx="1">
                  <c:v>9.0191780821917806</c:v>
                </c:pt>
                <c:pt idx="2">
                  <c:v>5.720547945205479</c:v>
                </c:pt>
                <c:pt idx="3">
                  <c:v>3.1890410958904107</c:v>
                </c:pt>
                <c:pt idx="4">
                  <c:v>1.7205479452054795</c:v>
                </c:pt>
                <c:pt idx="5">
                  <c:v>0.86575342465753424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4-1540-BA13-EC3042CC6FEB}"/>
            </c:ext>
          </c:extLst>
        </c:ser>
        <c:ser>
          <c:idx val="1"/>
          <c:order val="2"/>
          <c:tx>
            <c:strRef>
              <c:f>'First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4">
                <a:shade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Outputs'!$K$12:$P$12</c:f>
              <c:numCache>
                <c:formatCode>0</c:formatCode>
                <c:ptCount val="6"/>
                <c:pt idx="0">
                  <c:v>17.780821917808218</c:v>
                </c:pt>
                <c:pt idx="1">
                  <c:v>9.6767123287671239</c:v>
                </c:pt>
                <c:pt idx="2">
                  <c:v>6.0821917808219181</c:v>
                </c:pt>
                <c:pt idx="3">
                  <c:v>3.2657534246575342</c:v>
                </c:pt>
                <c:pt idx="4">
                  <c:v>1.6</c:v>
                </c:pt>
                <c:pt idx="5">
                  <c:v>0.60273972602739723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4-1540-BA13-EC3042CC6FEB}"/>
            </c:ext>
          </c:extLst>
        </c:ser>
        <c:ser>
          <c:idx val="5"/>
          <c:order val="3"/>
          <c:tx>
            <c:strRef>
              <c:f>'First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4">
                <a:tint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'First Pywake Outputs'!$K$13:$P$13</c:f>
              <c:numCache>
                <c:formatCode>0</c:formatCode>
                <c:ptCount val="6"/>
                <c:pt idx="0">
                  <c:v>18.054794520547944</c:v>
                </c:pt>
                <c:pt idx="1">
                  <c:v>10.778082191780822</c:v>
                </c:pt>
                <c:pt idx="2">
                  <c:v>6.8876712328767127</c:v>
                </c:pt>
                <c:pt idx="3">
                  <c:v>3.978082191780822</c:v>
                </c:pt>
                <c:pt idx="4">
                  <c:v>2.0767123287671234</c:v>
                </c:pt>
                <c:pt idx="5">
                  <c:v>0.96986301369863015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04-1540-BA13-EC3042CC6FEB}"/>
            </c:ext>
          </c:extLst>
        </c:ser>
        <c:ser>
          <c:idx val="3"/>
          <c:order val="4"/>
          <c:tx>
            <c:strRef>
              <c:f>'First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4">
                <a:tint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Outputs'!$K$14:$P$14</c:f>
              <c:numCache>
                <c:formatCode>0</c:formatCode>
                <c:ptCount val="6"/>
                <c:pt idx="0">
                  <c:v>16.778082191780822</c:v>
                </c:pt>
                <c:pt idx="1">
                  <c:v>8.2849315068493148</c:v>
                </c:pt>
                <c:pt idx="2">
                  <c:v>4.9589041095890414</c:v>
                </c:pt>
                <c:pt idx="3">
                  <c:v>2.5863013698630137</c:v>
                </c:pt>
                <c:pt idx="4">
                  <c:v>1.2767123287671234</c:v>
                </c:pt>
                <c:pt idx="5">
                  <c:v>0.60821917808219184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04-1540-BA13-EC3042CC6FEB}"/>
            </c:ext>
          </c:extLst>
        </c:ser>
        <c:ser>
          <c:idx val="4"/>
          <c:order val="5"/>
          <c:tx>
            <c:strRef>
              <c:f>'First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'First Pywake Outputs'!$K$2:$P$2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'First Pywake Outputs'!$K$15:$P$15</c:f>
              <c:numCache>
                <c:formatCode>0</c:formatCode>
                <c:ptCount val="6"/>
                <c:pt idx="0">
                  <c:v>15.479452054794521</c:v>
                </c:pt>
                <c:pt idx="1">
                  <c:v>7.3863013698630136</c:v>
                </c:pt>
                <c:pt idx="2">
                  <c:v>4.4054794520547942</c:v>
                </c:pt>
                <c:pt idx="3">
                  <c:v>2.4164383561643836</c:v>
                </c:pt>
                <c:pt idx="4">
                  <c:v>1.189041095890411</c:v>
                </c:pt>
                <c:pt idx="5">
                  <c:v>0.64109589041095894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04-1540-BA13-EC3042CC6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106095"/>
        <c:axId val="2106468959"/>
      </c:barChart>
      <c:catAx>
        <c:axId val="210610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Control</a:t>
                </a:r>
                <a:r>
                  <a:rPr lang="en-US" baseline="0"/>
                  <a:t> 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68959"/>
        <c:crosses val="autoZero"/>
        <c:auto val="1"/>
        <c:lblAlgn val="ctr"/>
        <c:lblOffset val="100"/>
        <c:noMultiLvlLbl val="0"/>
      </c:catAx>
      <c:valAx>
        <c:axId val="21064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Required</a:t>
                </a:r>
                <a:r>
                  <a:rPr lang="en-US" baseline="0"/>
                  <a:t> Daily Movements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06095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 improvement</a:t>
            </a:r>
            <a:r>
              <a:rPr lang="en-US" baseline="0"/>
              <a:t> vs. Wind Direction Sensitivity, Across Sites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'Updated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4">
                <a:shade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plus>
            <c:min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Outputs'!$B$3,'Updated Pywake Outputs'!$E$3,'Updated Pywake Outputs'!$H$3,'Updated Pywake Outputs'!$K$3,'Updated Pywake Outputs'!$N$3,'Updated Pywake Outputs'!$Q$3)</c:f>
              <c:numCache>
                <c:formatCode>0.000%</c:formatCode>
                <c:ptCount val="6"/>
                <c:pt idx="0">
                  <c:v>2.3777690494981896E-2</c:v>
                </c:pt>
                <c:pt idx="1">
                  <c:v>2.3828914888907302E-2</c:v>
                </c:pt>
                <c:pt idx="2">
                  <c:v>2.3801701020303399E-2</c:v>
                </c:pt>
                <c:pt idx="3">
                  <c:v>2.4004942046583402E-2</c:v>
                </c:pt>
                <c:pt idx="4">
                  <c:v>2.3063300445907903E-2</c:v>
                </c:pt>
                <c:pt idx="5">
                  <c:v>2.01427867510117E-2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D-904F-96D2-6540D28425B7}"/>
            </c:ext>
          </c:extLst>
        </c:ser>
        <c:ser>
          <c:idx val="1"/>
          <c:order val="1"/>
          <c:tx>
            <c:strRef>
              <c:f>'Updated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4">
                <a:shade val="7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plus>
            <c:min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Outputs'!$B$4,'Updated Pywake Outputs'!$E$4,'Updated Pywake Outputs'!$H$4,'Updated Pywake Outputs'!$K$4,'Updated Pywake Outputs'!$N$4,'Updated Pywake Outputs'!$Q$4)</c:f>
              <c:numCache>
                <c:formatCode>0.000%</c:formatCode>
                <c:ptCount val="6"/>
                <c:pt idx="0">
                  <c:v>2.2691132068976397E-2</c:v>
                </c:pt>
                <c:pt idx="1">
                  <c:v>2.2778598699548201E-2</c:v>
                </c:pt>
                <c:pt idx="2">
                  <c:v>2.2837268033670699E-2</c:v>
                </c:pt>
                <c:pt idx="3">
                  <c:v>2.1079076571451499E-2</c:v>
                </c:pt>
                <c:pt idx="4">
                  <c:v>1.8966368718234702E-2</c:v>
                </c:pt>
                <c:pt idx="5">
                  <c:v>1.7640938214229501E-2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D-904F-96D2-6540D28425B7}"/>
            </c:ext>
          </c:extLst>
        </c:ser>
        <c:ser>
          <c:idx val="2"/>
          <c:order val="2"/>
          <c:tx>
            <c:strRef>
              <c:f>'Updated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plus>
            <c:min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Outputs'!$B$5,'Updated Pywake Outputs'!$E$5,'Updated Pywake Outputs'!$H$5,'Updated Pywake Outputs'!$K$5,'Updated Pywake Outputs'!$N$5,'Updated Pywake Outputs'!$Q$5)</c:f>
              <c:numCache>
                <c:formatCode>0.000%</c:formatCode>
                <c:ptCount val="6"/>
                <c:pt idx="0">
                  <c:v>1.60494705205966E-2</c:v>
                </c:pt>
                <c:pt idx="1">
                  <c:v>1.3441060978481101E-2</c:v>
                </c:pt>
                <c:pt idx="2">
                  <c:v>1.09279275487812E-2</c:v>
                </c:pt>
                <c:pt idx="3">
                  <c:v>2.5342966838680495E-3</c:v>
                </c:pt>
                <c:pt idx="4">
                  <c:v>1.0720150038108899E-3</c:v>
                </c:pt>
                <c:pt idx="5">
                  <c:v>-2.9798649364755899E-2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D-904F-96D2-6540D28425B7}"/>
            </c:ext>
          </c:extLst>
        </c:ser>
        <c:ser>
          <c:idx val="3"/>
          <c:order val="3"/>
          <c:tx>
            <c:strRef>
              <c:f>'Updated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4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plus>
            <c:min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Outputs'!$C$6,'Updated Pywake Outputs'!$F$6,'Updated Pywake Outputs'!$I$6,'Updated Pywake Outputs'!$L$6,'Updated Pywake Outputs'!$O$6,'Updated Pywake Outputs'!$R$6)</c:f>
              <c:numCache>
                <c:formatCode>0.000%</c:formatCode>
                <c:ptCount val="6"/>
                <c:pt idx="0">
                  <c:v>1.36328168987586E-2</c:v>
                </c:pt>
                <c:pt idx="1">
                  <c:v>1.3349766868000599E-2</c:v>
                </c:pt>
                <c:pt idx="2">
                  <c:v>1.3358939689854301E-2</c:v>
                </c:pt>
                <c:pt idx="3">
                  <c:v>1.29482871232583E-2</c:v>
                </c:pt>
                <c:pt idx="4">
                  <c:v>-1.1322616445263001E-2</c:v>
                </c:pt>
                <c:pt idx="5">
                  <c:v>-1.31264739090336E-2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D-904F-96D2-6540D28425B7}"/>
            </c:ext>
          </c:extLst>
        </c:ser>
        <c:ser>
          <c:idx val="4"/>
          <c:order val="4"/>
          <c:tx>
            <c:strRef>
              <c:f>'Updated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plus>
            <c:min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Outputs'!$B$7,'Updated Pywake Outputs'!$E$7,'Updated Pywake Outputs'!$H$7,'Updated Pywake Outputs'!$K$7,'Updated Pywake Outputs'!$N$7,'Updated Pywake Outputs'!$Q$7)</c:f>
              <c:numCache>
                <c:formatCode>0.000%</c:formatCode>
                <c:ptCount val="6"/>
                <c:pt idx="0">
                  <c:v>1.1648024653615401E-2</c:v>
                </c:pt>
                <c:pt idx="1">
                  <c:v>1.14133932355299E-2</c:v>
                </c:pt>
                <c:pt idx="2">
                  <c:v>1.1043722041064701E-2</c:v>
                </c:pt>
                <c:pt idx="3">
                  <c:v>8.9582249234933797E-3</c:v>
                </c:pt>
                <c:pt idx="4">
                  <c:v>-7.9958758766205798E-2</c:v>
                </c:pt>
                <c:pt idx="5">
                  <c:v>-7.9204073389645704E-2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D-904F-96D2-6540D28425B7}"/>
            </c:ext>
          </c:extLst>
        </c:ser>
        <c:ser>
          <c:idx val="5"/>
          <c:order val="5"/>
          <c:tx>
            <c:strRef>
              <c:f>'Updated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4">
                <a:tint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plus>
            <c:min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Outputs'!$B$8,'Updated Pywake Outputs'!$E$8,'Updated Pywake Outputs'!$H$8,'Updated Pywake Outputs'!$K$8,'Updated Pywake Outputs'!$N$8,'Updated Pywake Outputs'!$Q$8)</c:f>
              <c:numCache>
                <c:formatCode>0.000%</c:formatCode>
                <c:ptCount val="6"/>
                <c:pt idx="0">
                  <c:v>5.4763157878435394E-3</c:v>
                </c:pt>
                <c:pt idx="1">
                  <c:v>4.8156961501199099E-3</c:v>
                </c:pt>
                <c:pt idx="2">
                  <c:v>4.8903637676298399E-3</c:v>
                </c:pt>
                <c:pt idx="3">
                  <c:v>-1.27625488515937E-2</c:v>
                </c:pt>
                <c:pt idx="4">
                  <c:v>-8.6788619208643697E-2</c:v>
                </c:pt>
                <c:pt idx="5">
                  <c:v>-8.2549350383316802E-2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D-904F-96D2-6540D2842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48832"/>
        <c:axId val="174582480"/>
      </c:barChart>
      <c:catAx>
        <c:axId val="1749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Direction </a:t>
                </a:r>
                <a:r>
                  <a:rPr lang="en-US" baseline="0"/>
                  <a:t>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480"/>
        <c:crosses val="autoZero"/>
        <c:auto val="1"/>
        <c:lblAlgn val="ctr"/>
        <c:lblOffset val="100"/>
        <c:noMultiLvlLbl val="0"/>
      </c:catAx>
      <c:valAx>
        <c:axId val="1745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AEP</a:t>
                </a:r>
                <a:r>
                  <a:rPr lang="en-US" baseline="0"/>
                  <a:t> Improvement Under Dynamic Mode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 improvement</a:t>
            </a:r>
            <a:r>
              <a:rPr lang="en-US" baseline="0"/>
              <a:t> vs. Wind Direction Sensitivity, Across Sites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'Updated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plus>
            <c:min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Outputs'!$B$3,'Updated Pywake Outputs'!$E$3,'Updated Pywake Outputs'!$H$3,'Updated Pywake Outputs'!$K$3,'Updated Pywake Outputs'!$N$3,'Updated Pywake Outputs'!$Q$3)</c:f>
              <c:numCache>
                <c:formatCode>0.000%</c:formatCode>
                <c:ptCount val="6"/>
                <c:pt idx="0">
                  <c:v>2.3777690494981896E-2</c:v>
                </c:pt>
                <c:pt idx="1">
                  <c:v>2.3828914888907302E-2</c:v>
                </c:pt>
                <c:pt idx="2">
                  <c:v>2.3801701020303399E-2</c:v>
                </c:pt>
                <c:pt idx="3">
                  <c:v>2.4004942046583402E-2</c:v>
                </c:pt>
                <c:pt idx="4">
                  <c:v>2.3063300445907903E-2</c:v>
                </c:pt>
                <c:pt idx="5">
                  <c:v>2.01427867510117E-2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6-B146-8FDA-87AFDD22DABA}"/>
            </c:ext>
          </c:extLst>
        </c:ser>
        <c:ser>
          <c:idx val="1"/>
          <c:order val="1"/>
          <c:tx>
            <c:strRef>
              <c:f>'Updated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plus>
            <c:min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Outputs'!$B$4,'Updated Pywake Outputs'!$E$4,'Updated Pywake Outputs'!$H$4,'Updated Pywake Outputs'!$K$4,'Updated Pywake Outputs'!$N$4,'Updated Pywake Outputs'!$Q$4)</c:f>
              <c:numCache>
                <c:formatCode>0.000%</c:formatCode>
                <c:ptCount val="6"/>
                <c:pt idx="0">
                  <c:v>2.2691132068976397E-2</c:v>
                </c:pt>
                <c:pt idx="1">
                  <c:v>2.2778598699548201E-2</c:v>
                </c:pt>
                <c:pt idx="2">
                  <c:v>2.2837268033670699E-2</c:v>
                </c:pt>
                <c:pt idx="3">
                  <c:v>2.1079076571451499E-2</c:v>
                </c:pt>
                <c:pt idx="4">
                  <c:v>1.8966368718234702E-2</c:v>
                </c:pt>
                <c:pt idx="5">
                  <c:v>1.7640938214229501E-2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6-B146-8FDA-87AFDD22DABA}"/>
            </c:ext>
          </c:extLst>
        </c:ser>
        <c:ser>
          <c:idx val="2"/>
          <c:order val="2"/>
          <c:tx>
            <c:strRef>
              <c:f>'Updated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plus>
            <c:min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Outputs'!$B$5,'Updated Pywake Outputs'!$E$5,'Updated Pywake Outputs'!$H$5,'Updated Pywake Outputs'!$K$5,'Updated Pywake Outputs'!$N$5,'Updated Pywake Outputs'!$Q$5)</c:f>
              <c:numCache>
                <c:formatCode>0.000%</c:formatCode>
                <c:ptCount val="6"/>
                <c:pt idx="0">
                  <c:v>1.60494705205966E-2</c:v>
                </c:pt>
                <c:pt idx="1">
                  <c:v>1.3441060978481101E-2</c:v>
                </c:pt>
                <c:pt idx="2">
                  <c:v>1.09279275487812E-2</c:v>
                </c:pt>
                <c:pt idx="3">
                  <c:v>2.5342966838680495E-3</c:v>
                </c:pt>
                <c:pt idx="4">
                  <c:v>1.0720150038108899E-3</c:v>
                </c:pt>
                <c:pt idx="5">
                  <c:v>-2.9798649364755899E-2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6-B146-8FDA-87AFDD22DABA}"/>
            </c:ext>
          </c:extLst>
        </c:ser>
        <c:ser>
          <c:idx val="3"/>
          <c:order val="3"/>
          <c:tx>
            <c:strRef>
              <c:f>'Updated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plus>
            <c:min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Outputs'!$C$6,'Updated Pywake Outputs'!$F$6,'Updated Pywake Outputs'!$I$6,'Updated Pywake Outputs'!$L$6,'Updated Pywake Outputs'!$O$6,'Updated Pywake Outputs'!$R$6)</c:f>
              <c:numCache>
                <c:formatCode>0.000%</c:formatCode>
                <c:ptCount val="6"/>
                <c:pt idx="0">
                  <c:v>1.36328168987586E-2</c:v>
                </c:pt>
                <c:pt idx="1">
                  <c:v>1.3349766868000599E-2</c:v>
                </c:pt>
                <c:pt idx="2">
                  <c:v>1.3358939689854301E-2</c:v>
                </c:pt>
                <c:pt idx="3">
                  <c:v>1.29482871232583E-2</c:v>
                </c:pt>
                <c:pt idx="4">
                  <c:v>-1.1322616445263001E-2</c:v>
                </c:pt>
                <c:pt idx="5">
                  <c:v>-1.31264739090336E-2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76-B146-8FDA-87AFDD22DABA}"/>
            </c:ext>
          </c:extLst>
        </c:ser>
        <c:ser>
          <c:idx val="4"/>
          <c:order val="4"/>
          <c:tx>
            <c:strRef>
              <c:f>'Updated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plus>
            <c:min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Outputs'!$B$7,'Updated Pywake Outputs'!$E$7,'Updated Pywake Outputs'!$H$7,'Updated Pywake Outputs'!$K$7,'Updated Pywake Outputs'!$N$7,'Updated Pywake Outputs'!$Q$7)</c:f>
              <c:numCache>
                <c:formatCode>0.000%</c:formatCode>
                <c:ptCount val="6"/>
                <c:pt idx="0">
                  <c:v>1.1648024653615401E-2</c:v>
                </c:pt>
                <c:pt idx="1">
                  <c:v>1.14133932355299E-2</c:v>
                </c:pt>
                <c:pt idx="2">
                  <c:v>1.1043722041064701E-2</c:v>
                </c:pt>
                <c:pt idx="3">
                  <c:v>8.9582249234933797E-3</c:v>
                </c:pt>
                <c:pt idx="4">
                  <c:v>-7.9958758766205798E-2</c:v>
                </c:pt>
                <c:pt idx="5">
                  <c:v>-7.9204073389645704E-2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76-B146-8FDA-87AFDD22DABA}"/>
            </c:ext>
          </c:extLst>
        </c:ser>
        <c:ser>
          <c:idx val="5"/>
          <c:order val="5"/>
          <c:tx>
            <c:strRef>
              <c:f>'Updated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plus>
            <c:min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Outputs'!$B$8,'Updated Pywake Outputs'!$E$8,'Updated Pywake Outputs'!$H$8,'Updated Pywake Outputs'!$K$8,'Updated Pywake Outputs'!$N$8,'Updated Pywake Outputs'!$Q$8)</c:f>
              <c:numCache>
                <c:formatCode>0.000%</c:formatCode>
                <c:ptCount val="6"/>
                <c:pt idx="0">
                  <c:v>5.4763157878435394E-3</c:v>
                </c:pt>
                <c:pt idx="1">
                  <c:v>4.8156961501199099E-3</c:v>
                </c:pt>
                <c:pt idx="2">
                  <c:v>4.8903637676298399E-3</c:v>
                </c:pt>
                <c:pt idx="3">
                  <c:v>-1.27625488515937E-2</c:v>
                </c:pt>
                <c:pt idx="4">
                  <c:v>-8.6788619208643697E-2</c:v>
                </c:pt>
                <c:pt idx="5">
                  <c:v>-8.2549350383316802E-2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76-B146-8FDA-87AFDD22D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48832"/>
        <c:axId val="174582480"/>
      </c:barChart>
      <c:catAx>
        <c:axId val="1749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Direction </a:t>
                </a:r>
                <a:r>
                  <a:rPr lang="en-US" baseline="0"/>
                  <a:t>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480"/>
        <c:crosses val="autoZero"/>
        <c:auto val="1"/>
        <c:lblAlgn val="ctr"/>
        <c:lblOffset val="100"/>
        <c:noMultiLvlLbl val="0"/>
      </c:catAx>
      <c:valAx>
        <c:axId val="1745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AEP</a:t>
                </a:r>
                <a:r>
                  <a:rPr lang="en-US" baseline="0"/>
                  <a:t> Improvement Under Dynamic Mode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 improvement</a:t>
            </a:r>
            <a:r>
              <a:rPr lang="en-US" baseline="0"/>
              <a:t> vs. Wind Direction Sensitivity, Across Sites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'Updated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plus>
            <c:min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Outputs'!$B$3,'Updated Pywake Outputs'!$E$3,'Updated Pywake Outputs'!$H$3,'Updated Pywake Outputs'!$K$3,'Updated Pywake Outputs'!$N$3,'Updated Pywake Outputs'!$Q$3)</c:f>
              <c:numCache>
                <c:formatCode>0.000%</c:formatCode>
                <c:ptCount val="6"/>
                <c:pt idx="0">
                  <c:v>2.3777690494981896E-2</c:v>
                </c:pt>
                <c:pt idx="1">
                  <c:v>2.3828914888907302E-2</c:v>
                </c:pt>
                <c:pt idx="2">
                  <c:v>2.3801701020303399E-2</c:v>
                </c:pt>
                <c:pt idx="3">
                  <c:v>2.4004942046583402E-2</c:v>
                </c:pt>
                <c:pt idx="4">
                  <c:v>2.3063300445907903E-2</c:v>
                </c:pt>
                <c:pt idx="5">
                  <c:v>2.01427867510117E-2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2-E64A-891E-C3F93EB33F41}"/>
            </c:ext>
          </c:extLst>
        </c:ser>
        <c:ser>
          <c:idx val="1"/>
          <c:order val="1"/>
          <c:tx>
            <c:strRef>
              <c:f>'Updated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plus>
            <c:min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Outputs'!$B$4,'Updated Pywake Outputs'!$E$4,'Updated Pywake Outputs'!$H$4,'Updated Pywake Outputs'!$K$4,'Updated Pywake Outputs'!$N$4,'Updated Pywake Outputs'!$Q$4)</c:f>
              <c:numCache>
                <c:formatCode>0.000%</c:formatCode>
                <c:ptCount val="6"/>
                <c:pt idx="0">
                  <c:v>2.2691132068976397E-2</c:v>
                </c:pt>
                <c:pt idx="1">
                  <c:v>2.2778598699548201E-2</c:v>
                </c:pt>
                <c:pt idx="2">
                  <c:v>2.2837268033670699E-2</c:v>
                </c:pt>
                <c:pt idx="3">
                  <c:v>2.1079076571451499E-2</c:v>
                </c:pt>
                <c:pt idx="4">
                  <c:v>1.8966368718234702E-2</c:v>
                </c:pt>
                <c:pt idx="5">
                  <c:v>1.7640938214229501E-2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2-E64A-891E-C3F93EB33F41}"/>
            </c:ext>
          </c:extLst>
        </c:ser>
        <c:ser>
          <c:idx val="2"/>
          <c:order val="2"/>
          <c:tx>
            <c:strRef>
              <c:f>'Updated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plus>
            <c:min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Outputs'!$B$5,'Updated Pywake Outputs'!$E$5,'Updated Pywake Outputs'!$H$5,'Updated Pywake Outputs'!$K$5,'Updated Pywake Outputs'!$N$5,'Updated Pywake Outputs'!$Q$5)</c:f>
              <c:numCache>
                <c:formatCode>0.000%</c:formatCode>
                <c:ptCount val="6"/>
                <c:pt idx="0">
                  <c:v>1.60494705205966E-2</c:v>
                </c:pt>
                <c:pt idx="1">
                  <c:v>1.3441060978481101E-2</c:v>
                </c:pt>
                <c:pt idx="2">
                  <c:v>1.09279275487812E-2</c:v>
                </c:pt>
                <c:pt idx="3">
                  <c:v>2.5342966838680495E-3</c:v>
                </c:pt>
                <c:pt idx="4">
                  <c:v>1.0720150038108899E-3</c:v>
                </c:pt>
                <c:pt idx="5">
                  <c:v>-2.9798649364755899E-2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2-E64A-891E-C3F93EB33F41}"/>
            </c:ext>
          </c:extLst>
        </c:ser>
        <c:ser>
          <c:idx val="3"/>
          <c:order val="3"/>
          <c:tx>
            <c:strRef>
              <c:f>'Updated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plus>
            <c:min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Outputs'!$C$6,'Updated Pywake Outputs'!$F$6,'Updated Pywake Outputs'!$I$6,'Updated Pywake Outputs'!$L$6,'Updated Pywake Outputs'!$O$6,'Updated Pywake Outputs'!$R$6)</c:f>
              <c:numCache>
                <c:formatCode>0.000%</c:formatCode>
                <c:ptCount val="6"/>
                <c:pt idx="0">
                  <c:v>1.36328168987586E-2</c:v>
                </c:pt>
                <c:pt idx="1">
                  <c:v>1.3349766868000599E-2</c:v>
                </c:pt>
                <c:pt idx="2">
                  <c:v>1.3358939689854301E-2</c:v>
                </c:pt>
                <c:pt idx="3">
                  <c:v>1.29482871232583E-2</c:v>
                </c:pt>
                <c:pt idx="4">
                  <c:v>-1.1322616445263001E-2</c:v>
                </c:pt>
                <c:pt idx="5">
                  <c:v>-1.31264739090336E-2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02-E64A-891E-C3F93EB33F41}"/>
            </c:ext>
          </c:extLst>
        </c:ser>
        <c:ser>
          <c:idx val="4"/>
          <c:order val="4"/>
          <c:tx>
            <c:strRef>
              <c:f>'Updated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plus>
            <c:min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Outputs'!$B$7,'Updated Pywake Outputs'!$E$7,'Updated Pywake Outputs'!$H$7,'Updated Pywake Outputs'!$K$7,'Updated Pywake Outputs'!$N$7,'Updated Pywake Outputs'!$Q$7)</c:f>
              <c:numCache>
                <c:formatCode>0.000%</c:formatCode>
                <c:ptCount val="6"/>
                <c:pt idx="0">
                  <c:v>1.1648024653615401E-2</c:v>
                </c:pt>
                <c:pt idx="1">
                  <c:v>1.14133932355299E-2</c:v>
                </c:pt>
                <c:pt idx="2">
                  <c:v>1.1043722041064701E-2</c:v>
                </c:pt>
                <c:pt idx="3">
                  <c:v>8.9582249234933797E-3</c:v>
                </c:pt>
                <c:pt idx="4">
                  <c:v>-7.9958758766205798E-2</c:v>
                </c:pt>
                <c:pt idx="5">
                  <c:v>-7.9204073389645704E-2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02-E64A-891E-C3F93EB33F41}"/>
            </c:ext>
          </c:extLst>
        </c:ser>
        <c:ser>
          <c:idx val="5"/>
          <c:order val="5"/>
          <c:tx>
            <c:strRef>
              <c:f>'Updated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plus>
            <c:min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Outputs'!$B$8,'Updated Pywake Outputs'!$E$8,'Updated Pywake Outputs'!$H$8,'Updated Pywake Outputs'!$K$8,'Updated Pywake Outputs'!$N$8,'Updated Pywake Outputs'!$Q$8)</c:f>
              <c:numCache>
                <c:formatCode>0.000%</c:formatCode>
                <c:ptCount val="6"/>
                <c:pt idx="0">
                  <c:v>5.4763157878435394E-3</c:v>
                </c:pt>
                <c:pt idx="1">
                  <c:v>4.8156961501199099E-3</c:v>
                </c:pt>
                <c:pt idx="2">
                  <c:v>4.8903637676298399E-3</c:v>
                </c:pt>
                <c:pt idx="3">
                  <c:v>-1.27625488515937E-2</c:v>
                </c:pt>
                <c:pt idx="4">
                  <c:v>-8.6788619208643697E-2</c:v>
                </c:pt>
                <c:pt idx="5">
                  <c:v>-8.2549350383316802E-2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02-E64A-891E-C3F93EB33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48832"/>
        <c:axId val="174582480"/>
      </c:barChart>
      <c:catAx>
        <c:axId val="1749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Direction </a:t>
                </a:r>
                <a:r>
                  <a:rPr lang="en-US" baseline="0"/>
                  <a:t>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480"/>
        <c:crosses val="autoZero"/>
        <c:auto val="1"/>
        <c:lblAlgn val="ctr"/>
        <c:lblOffset val="100"/>
        <c:noMultiLvlLbl val="0"/>
      </c:catAx>
      <c:valAx>
        <c:axId val="1745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AEP</a:t>
                </a:r>
                <a:r>
                  <a:rPr lang="en-US" baseline="0"/>
                  <a:t> Improvement Under Dynamic Mode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 improvement</a:t>
            </a:r>
            <a:r>
              <a:rPr lang="en-US" baseline="0"/>
              <a:t> vs. Wind Direction Sensitivity, Across Sites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'Updated Pywake Outputs'!$A$3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plus>
            <c:minus>
              <c:numRef>
                <c:f>('Updated Pywake Outputs'!$S$3,'Updated Pywake Outputs'!$P$3,'Updated Pywake Outputs'!$M$3,'Updated Pywake Outputs'!$J$3,'Updated Pywake Outputs'!$G$3,'Updated Pywake Outputs'!$D$3)</c:f>
                <c:numCache>
                  <c:formatCode>General</c:formatCode>
                  <c:ptCount val="6"/>
                  <c:pt idx="0">
                    <c:v>8.3809937972792112E-4</c:v>
                  </c:pt>
                  <c:pt idx="1">
                    <c:v>9.4062521696961735E-4</c:v>
                  </c:pt>
                  <c:pt idx="2">
                    <c:v>8.5806607290788816E-4</c:v>
                  </c:pt>
                  <c:pt idx="3">
                    <c:v>8.1733146368506953E-4</c:v>
                  </c:pt>
                  <c:pt idx="4">
                    <c:v>8.1911397550281731E-4</c:v>
                  </c:pt>
                  <c:pt idx="5">
                    <c:v>8.2257084061052065E-4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Outputs'!$B$3,'Updated Pywake Outputs'!$E$3,'Updated Pywake Outputs'!$H$3,'Updated Pywake Outputs'!$K$3,'Updated Pywake Outputs'!$N$3,'Updated Pywake Outputs'!$Q$3)</c:f>
              <c:numCache>
                <c:formatCode>0.000%</c:formatCode>
                <c:ptCount val="6"/>
                <c:pt idx="0">
                  <c:v>2.3777690494981896E-2</c:v>
                </c:pt>
                <c:pt idx="1">
                  <c:v>2.3828914888907302E-2</c:v>
                </c:pt>
                <c:pt idx="2">
                  <c:v>2.3801701020303399E-2</c:v>
                </c:pt>
                <c:pt idx="3">
                  <c:v>2.4004942046583402E-2</c:v>
                </c:pt>
                <c:pt idx="4">
                  <c:v>2.3063300445907903E-2</c:v>
                </c:pt>
                <c:pt idx="5">
                  <c:v>2.01427867510117E-2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6-084F-BCDB-C4F850A557B0}"/>
            </c:ext>
          </c:extLst>
        </c:ser>
        <c:ser>
          <c:idx val="1"/>
          <c:order val="1"/>
          <c:tx>
            <c:strRef>
              <c:f>'Updated Pywake Outputs'!$A$4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plus>
            <c:minus>
              <c:numRef>
                <c:f>('Updated Pywake Outputs'!$S$4,'Updated Pywake Outputs'!$P$4,'Updated Pywake Outputs'!$M$4,'Updated Pywake Outputs'!$J$4,'Updated Pywake Outputs'!$G$4,'Updated Pywake Outputs'!$D$4)</c:f>
                <c:numCache>
                  <c:formatCode>General</c:formatCode>
                  <c:ptCount val="6"/>
                  <c:pt idx="0">
                    <c:v>1.0586979936885235E-3</c:v>
                  </c:pt>
                  <c:pt idx="1">
                    <c:v>1.2709644259308371E-3</c:v>
                  </c:pt>
                  <c:pt idx="2">
                    <c:v>1.3402999196809996E-3</c:v>
                  </c:pt>
                  <c:pt idx="3">
                    <c:v>1.4667282299082652E-3</c:v>
                  </c:pt>
                  <c:pt idx="4">
                    <c:v>1.4482721542102091E-3</c:v>
                  </c:pt>
                  <c:pt idx="5">
                    <c:v>1.4218830485965125E-3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Outputs'!$B$4,'Updated Pywake Outputs'!$E$4,'Updated Pywake Outputs'!$H$4,'Updated Pywake Outputs'!$K$4,'Updated Pywake Outputs'!$N$4,'Updated Pywake Outputs'!$Q$4)</c:f>
              <c:numCache>
                <c:formatCode>0.000%</c:formatCode>
                <c:ptCount val="6"/>
                <c:pt idx="0">
                  <c:v>2.2691132068976397E-2</c:v>
                </c:pt>
                <c:pt idx="1">
                  <c:v>2.2778598699548201E-2</c:v>
                </c:pt>
                <c:pt idx="2">
                  <c:v>2.2837268033670699E-2</c:v>
                </c:pt>
                <c:pt idx="3">
                  <c:v>2.1079076571451499E-2</c:v>
                </c:pt>
                <c:pt idx="4">
                  <c:v>1.8966368718234702E-2</c:v>
                </c:pt>
                <c:pt idx="5">
                  <c:v>1.7640938214229501E-2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6-084F-BCDB-C4F850A557B0}"/>
            </c:ext>
          </c:extLst>
        </c:ser>
        <c:ser>
          <c:idx val="2"/>
          <c:order val="2"/>
          <c:tx>
            <c:strRef>
              <c:f>'Updated Pywake Outputs'!$A$5</c:f>
              <c:strCache>
                <c:ptCount val="1"/>
                <c:pt idx="0">
                  <c:v>Hornsrev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plus>
            <c:minus>
              <c:numRef>
                <c:f>('Updated Pywake Outputs'!$S$5,'Updated Pywake Outputs'!$P$5,'Updated Pywake Outputs'!$M$5,'Updated Pywake Outputs'!$J$5,'Updated Pywake Outputs'!$G$5,'Updated Pywake Outputs'!$D$5)</c:f>
                <c:numCache>
                  <c:formatCode>General</c:formatCode>
                  <c:ptCount val="6"/>
                  <c:pt idx="0">
                    <c:v>3.8128602302409055E-4</c:v>
                  </c:pt>
                  <c:pt idx="1">
                    <c:v>1.3169815371117982E-4</c:v>
                  </c:pt>
                  <c:pt idx="2">
                    <c:v>2.6675987664092292E-4</c:v>
                  </c:pt>
                  <c:pt idx="3">
                    <c:v>4.8135273745753682E-4</c:v>
                  </c:pt>
                  <c:pt idx="4">
                    <c:v>6.0984835591044388E-4</c:v>
                  </c:pt>
                  <c:pt idx="5">
                    <c:v>6.4159838309757672E-4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Outputs'!$B$5,'Updated Pywake Outputs'!$E$5,'Updated Pywake Outputs'!$H$5,'Updated Pywake Outputs'!$K$5,'Updated Pywake Outputs'!$N$5,'Updated Pywake Outputs'!$Q$5)</c:f>
              <c:numCache>
                <c:formatCode>0.000%</c:formatCode>
                <c:ptCount val="6"/>
                <c:pt idx="0">
                  <c:v>1.60494705205966E-2</c:v>
                </c:pt>
                <c:pt idx="1">
                  <c:v>1.3441060978481101E-2</c:v>
                </c:pt>
                <c:pt idx="2">
                  <c:v>1.09279275487812E-2</c:v>
                </c:pt>
                <c:pt idx="3">
                  <c:v>2.5342966838680495E-3</c:v>
                </c:pt>
                <c:pt idx="4">
                  <c:v>1.0720150038108899E-3</c:v>
                </c:pt>
                <c:pt idx="5">
                  <c:v>-2.9798649364755899E-2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6-084F-BCDB-C4F850A557B0}"/>
            </c:ext>
          </c:extLst>
        </c:ser>
        <c:ser>
          <c:idx val="3"/>
          <c:order val="3"/>
          <c:tx>
            <c:strRef>
              <c:f>'Updated Pywake Outputs'!$A$6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plus>
            <c:minus>
              <c:numRef>
                <c:f>('Updated Pywake Outputs'!$S$6,'Updated Pywake Outputs'!$P$6,'Updated Pywake Outputs'!$M$6,'Updated Pywake Outputs'!$J$6,'Updated Pywake Outputs'!$G$6,'Updated Pywake Outputs'!$D$6)</c:f>
                <c:numCache>
                  <c:formatCode>General</c:formatCode>
                  <c:ptCount val="6"/>
                  <c:pt idx="0">
                    <c:v>-3.0489927388865895E-5</c:v>
                  </c:pt>
                  <c:pt idx="1">
                    <c:v>-7.9196494994900231E-5</c:v>
                  </c:pt>
                  <c:pt idx="2">
                    <c:v>7.0556594033469435E-5</c:v>
                  </c:pt>
                  <c:pt idx="3">
                    <c:v>1.2275148963313272E-4</c:v>
                  </c:pt>
                  <c:pt idx="4">
                    <c:v>1.3703874865303491E-4</c:v>
                  </c:pt>
                  <c:pt idx="5">
                    <c:v>1.3600975474989426E-4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Outputs'!$C$6,'Updated Pywake Outputs'!$F$6,'Updated Pywake Outputs'!$I$6,'Updated Pywake Outputs'!$L$6,'Updated Pywake Outputs'!$O$6,'Updated Pywake Outputs'!$R$6)</c:f>
              <c:numCache>
                <c:formatCode>0.000%</c:formatCode>
                <c:ptCount val="6"/>
                <c:pt idx="0">
                  <c:v>1.36328168987586E-2</c:v>
                </c:pt>
                <c:pt idx="1">
                  <c:v>1.3349766868000599E-2</c:v>
                </c:pt>
                <c:pt idx="2">
                  <c:v>1.3358939689854301E-2</c:v>
                </c:pt>
                <c:pt idx="3">
                  <c:v>1.29482871232583E-2</c:v>
                </c:pt>
                <c:pt idx="4">
                  <c:v>-1.1322616445263001E-2</c:v>
                </c:pt>
                <c:pt idx="5">
                  <c:v>-1.31264739090336E-2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B6-084F-BCDB-C4F850A557B0}"/>
            </c:ext>
          </c:extLst>
        </c:ser>
        <c:ser>
          <c:idx val="4"/>
          <c:order val="4"/>
          <c:tx>
            <c:strRef>
              <c:f>'Updated Pywake Outputs'!$A$7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plus>
            <c:minus>
              <c:numRef>
                <c:f>('Updated Pywake Outputs'!$S$7,'Updated Pywake Outputs'!$P$7,'Updated Pywake Outputs'!$M$7,'Updated Pywake Outputs'!$J$7,'Updated Pywake Outputs'!$G$7,'Updated Pywake Outputs'!$D$7)</c:f>
                <c:numCache>
                  <c:formatCode>General</c:formatCode>
                  <c:ptCount val="6"/>
                  <c:pt idx="0">
                    <c:v>-1.1706963627261878E-3</c:v>
                  </c:pt>
                  <c:pt idx="1">
                    <c:v>-1.3116548521116106E-3</c:v>
                  </c:pt>
                  <c:pt idx="2">
                    <c:v>3.189500089485121E-4</c:v>
                  </c:pt>
                  <c:pt idx="3">
                    <c:v>4.246346498721464E-4</c:v>
                  </c:pt>
                  <c:pt idx="4">
                    <c:v>4.4500503347135253E-4</c:v>
                  </c:pt>
                  <c:pt idx="5">
                    <c:v>4.6724103868151358E-4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Outputs'!$B$7,'Updated Pywake Outputs'!$E$7,'Updated Pywake Outputs'!$H$7,'Updated Pywake Outputs'!$K$7,'Updated Pywake Outputs'!$N$7,'Updated Pywake Outputs'!$Q$7)</c:f>
              <c:numCache>
                <c:formatCode>0.000%</c:formatCode>
                <c:ptCount val="6"/>
                <c:pt idx="0">
                  <c:v>1.1648024653615401E-2</c:v>
                </c:pt>
                <c:pt idx="1">
                  <c:v>1.14133932355299E-2</c:v>
                </c:pt>
                <c:pt idx="2">
                  <c:v>1.1043722041064701E-2</c:v>
                </c:pt>
                <c:pt idx="3">
                  <c:v>8.9582249234933797E-3</c:v>
                </c:pt>
                <c:pt idx="4">
                  <c:v>-7.9958758766205798E-2</c:v>
                </c:pt>
                <c:pt idx="5">
                  <c:v>-7.9204073389645704E-2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B6-084F-BCDB-C4F850A557B0}"/>
            </c:ext>
          </c:extLst>
        </c:ser>
        <c:ser>
          <c:idx val="5"/>
          <c:order val="5"/>
          <c:tx>
            <c:strRef>
              <c:f>'Updated Pywake Outputs'!$A$8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plus>
            <c:minus>
              <c:numRef>
                <c:f>('Updated Pywake Outputs'!$S$8,'Updated Pywake Outputs'!$P$8,'Updated Pywake Outputs'!$M$8,'Updated Pywake Outputs'!$J$8,'Updated Pywake Outputs'!$G$8,'Updated Pywake Outputs'!$D$8)</c:f>
                <c:numCache>
                  <c:formatCode>General</c:formatCode>
                  <c:ptCount val="6"/>
                  <c:pt idx="0">
                    <c:v>2.9678306239112781E-4</c:v>
                  </c:pt>
                  <c:pt idx="1">
                    <c:v>3.9481335485195434E-4</c:v>
                  </c:pt>
                  <c:pt idx="2">
                    <c:v>3.0441433806565872E-4</c:v>
                  </c:pt>
                  <c:pt idx="3">
                    <c:v>-3.0484838334515361E-4</c:v>
                  </c:pt>
                  <c:pt idx="4">
                    <c:v>-4.1547621786883573E-4</c:v>
                  </c:pt>
                  <c:pt idx="5">
                    <c:v>-4.4244665836537121E-4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('Updated Pywake Outputs'!$B$1,'Updated Pywake Outputs'!$E$1,'Updated Pywake Outputs'!$H$1,'Updated Pywake Outputs'!$K$1,'Updated Pywake Outputs'!$N$1,'Updated Pywake Outputs'!$Q$1)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90</c:v>
                </c:pt>
              </c:numCache>
            </c:numRef>
          </c:cat>
          <c:val>
            <c:numRef>
              <c:f>('Updated Pywake Outputs'!$B$8,'Updated Pywake Outputs'!$E$8,'Updated Pywake Outputs'!$H$8,'Updated Pywake Outputs'!$K$8,'Updated Pywake Outputs'!$N$8,'Updated Pywake Outputs'!$Q$8)</c:f>
              <c:numCache>
                <c:formatCode>0.000%</c:formatCode>
                <c:ptCount val="6"/>
                <c:pt idx="0">
                  <c:v>5.4763157878435394E-3</c:v>
                </c:pt>
                <c:pt idx="1">
                  <c:v>4.8156961501199099E-3</c:v>
                </c:pt>
                <c:pt idx="2">
                  <c:v>4.8903637676298399E-3</c:v>
                </c:pt>
                <c:pt idx="3">
                  <c:v>-1.27625488515937E-2</c:v>
                </c:pt>
                <c:pt idx="4">
                  <c:v>-8.6788619208643697E-2</c:v>
                </c:pt>
                <c:pt idx="5">
                  <c:v>-8.2549350383316802E-2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B6-084F-BCDB-C4F850A55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948832"/>
        <c:axId val="174582480"/>
      </c:barChart>
      <c:catAx>
        <c:axId val="1749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Direction </a:t>
                </a:r>
                <a:r>
                  <a:rPr lang="en-US" baseline="0"/>
                  <a:t>Sensitivity (degrees)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480"/>
        <c:crosses val="autoZero"/>
        <c:auto val="1"/>
        <c:lblAlgn val="ctr"/>
        <c:lblOffset val="100"/>
        <c:noMultiLvlLbl val="0"/>
      </c:catAx>
      <c:valAx>
        <c:axId val="1745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AEP</a:t>
                </a:r>
                <a:r>
                  <a:rPr lang="en-US" baseline="0"/>
                  <a:t> Improvement Under Dynamic Mode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Chile</a:t>
            </a:r>
            <a:r>
              <a:rPr lang="en-US" baseline="0"/>
              <a:t> Turbines in Initial and Extreme Positions, UTM Zone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'Turbine Shift Measurements'!$A$27</c:f>
              <c:strCache>
                <c:ptCount val="1"/>
                <c:pt idx="0">
                  <c:v>Extreme Farm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'Turbine Shift Measurements'!$B$27:$B$51</c:f>
              <c:numCache>
                <c:formatCode>General</c:formatCode>
                <c:ptCount val="25"/>
                <c:pt idx="0">
                  <c:v>-8953576.5696230792</c:v>
                </c:pt>
                <c:pt idx="1">
                  <c:v>-8955155.2532260008</c:v>
                </c:pt>
                <c:pt idx="2">
                  <c:v>-8956733.9368289206</c:v>
                </c:pt>
                <c:pt idx="3">
                  <c:v>-8958312.6204318404</c:v>
                </c:pt>
                <c:pt idx="4">
                  <c:v>-8959891.3040347602</c:v>
                </c:pt>
                <c:pt idx="5">
                  <c:v>-8952673.9524534997</c:v>
                </c:pt>
                <c:pt idx="6">
                  <c:v>-8954252.6360564195</c:v>
                </c:pt>
                <c:pt idx="7">
                  <c:v>-8955831.3196593393</c:v>
                </c:pt>
                <c:pt idx="8">
                  <c:v>-8957410.0032622609</c:v>
                </c:pt>
                <c:pt idx="9">
                  <c:v>-8958988.6868651807</c:v>
                </c:pt>
                <c:pt idx="10">
                  <c:v>-8951771.3352839202</c:v>
                </c:pt>
                <c:pt idx="11">
                  <c:v>-8953350.01888684</c:v>
                </c:pt>
                <c:pt idx="12">
                  <c:v>-8954928.7024897598</c:v>
                </c:pt>
                <c:pt idx="13">
                  <c:v>-8956507.3860926908</c:v>
                </c:pt>
                <c:pt idx="14">
                  <c:v>-8958086.0696956106</c:v>
                </c:pt>
                <c:pt idx="15">
                  <c:v>-8950868.71811435</c:v>
                </c:pt>
                <c:pt idx="16">
                  <c:v>-8952447.4017172698</c:v>
                </c:pt>
                <c:pt idx="17">
                  <c:v>-8954026.0853201896</c:v>
                </c:pt>
                <c:pt idx="18">
                  <c:v>-8955604.7689231094</c:v>
                </c:pt>
                <c:pt idx="19">
                  <c:v>-8957183.4525260292</c:v>
                </c:pt>
                <c:pt idx="20">
                  <c:v>-8949966.1009447705</c:v>
                </c:pt>
                <c:pt idx="21">
                  <c:v>-8951544.7845476903</c:v>
                </c:pt>
                <c:pt idx="22">
                  <c:v>-8953123.4681506101</c:v>
                </c:pt>
                <c:pt idx="23">
                  <c:v>-8954702.1517535299</c:v>
                </c:pt>
                <c:pt idx="24">
                  <c:v>-8956280.8353564497</c:v>
                </c:pt>
              </c:numCache>
            </c:numRef>
          </c:xVal>
          <c:yVal>
            <c:numRef>
              <c:f>'Turbine Shift Measurements'!$C$27:$C$51</c:f>
              <c:numCache>
                <c:formatCode>General</c:formatCode>
                <c:ptCount val="25"/>
                <c:pt idx="0">
                  <c:v>-8831068.4888188895</c:v>
                </c:pt>
                <c:pt idx="1">
                  <c:v>-8831643.0826596804</c:v>
                </c:pt>
                <c:pt idx="2">
                  <c:v>-8832217.6765004694</c:v>
                </c:pt>
                <c:pt idx="3">
                  <c:v>-8832792.2703412604</c:v>
                </c:pt>
                <c:pt idx="4">
                  <c:v>-8833366.8641820401</c:v>
                </c:pt>
                <c:pt idx="5">
                  <c:v>-8828959.7995921802</c:v>
                </c:pt>
                <c:pt idx="6">
                  <c:v>-8829534.3934329692</c:v>
                </c:pt>
                <c:pt idx="7">
                  <c:v>-8830108.9872737601</c:v>
                </c:pt>
                <c:pt idx="8">
                  <c:v>-8830683.5811145399</c:v>
                </c:pt>
                <c:pt idx="9">
                  <c:v>-8831258.1749553308</c:v>
                </c:pt>
                <c:pt idx="10">
                  <c:v>-8826851.1103654709</c:v>
                </c:pt>
                <c:pt idx="11">
                  <c:v>-8827425.7042062599</c:v>
                </c:pt>
                <c:pt idx="12">
                  <c:v>-8828000.2980470508</c:v>
                </c:pt>
                <c:pt idx="13">
                  <c:v>-8828574.8918878306</c:v>
                </c:pt>
                <c:pt idx="14">
                  <c:v>-8829149.4857286196</c:v>
                </c:pt>
                <c:pt idx="15">
                  <c:v>-8824742.4211387597</c:v>
                </c:pt>
                <c:pt idx="16">
                  <c:v>-8825317.0149795506</c:v>
                </c:pt>
                <c:pt idx="17">
                  <c:v>-8825891.6088203304</c:v>
                </c:pt>
                <c:pt idx="18">
                  <c:v>-8826466.2026611194</c:v>
                </c:pt>
                <c:pt idx="19">
                  <c:v>-8827040.7965019103</c:v>
                </c:pt>
                <c:pt idx="20">
                  <c:v>-8822633.7319120504</c:v>
                </c:pt>
                <c:pt idx="21">
                  <c:v>-8823208.3257528394</c:v>
                </c:pt>
                <c:pt idx="22">
                  <c:v>-8823782.9195936304</c:v>
                </c:pt>
                <c:pt idx="23">
                  <c:v>-8824357.5134344101</c:v>
                </c:pt>
                <c:pt idx="24">
                  <c:v>-8824932.1072751991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CE-A04F-8C6E-283335B48858}"/>
            </c:ext>
          </c:extLst>
        </c:ser>
        <c:ser>
          <c:idx val="0"/>
          <c:order val="1"/>
          <c:tx>
            <c:strRef>
              <c:f>'Turbine Shift Measurements'!$A$2</c:f>
              <c:strCache>
                <c:ptCount val="1"/>
                <c:pt idx="0">
                  <c:v>Initial Farm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'Turbine Shift Measurements'!$B$2:$B$26</c:f>
              <c:numCache>
                <c:formatCode>General</c:formatCode>
                <c:ptCount val="25"/>
                <c:pt idx="0">
                  <c:v>-8953576.5696230792</c:v>
                </c:pt>
                <c:pt idx="1">
                  <c:v>-8955155.2532260008</c:v>
                </c:pt>
                <c:pt idx="2">
                  <c:v>-8956733.9368289206</c:v>
                </c:pt>
                <c:pt idx="3">
                  <c:v>-8958312.6204318404</c:v>
                </c:pt>
                <c:pt idx="4">
                  <c:v>-8959891.3040347602</c:v>
                </c:pt>
                <c:pt idx="5">
                  <c:v>-8952472.6527182795</c:v>
                </c:pt>
                <c:pt idx="6">
                  <c:v>-8954051.3363211993</c:v>
                </c:pt>
                <c:pt idx="7">
                  <c:v>-8955630.0199241191</c:v>
                </c:pt>
                <c:pt idx="8">
                  <c:v>-8957208.7035270408</c:v>
                </c:pt>
                <c:pt idx="9">
                  <c:v>-8958787.3871299606</c:v>
                </c:pt>
                <c:pt idx="10">
                  <c:v>-8951368.7358134799</c:v>
                </c:pt>
                <c:pt idx="11">
                  <c:v>-8952947.4194163997</c:v>
                </c:pt>
                <c:pt idx="12">
                  <c:v>-8954526.1030193195</c:v>
                </c:pt>
                <c:pt idx="13">
                  <c:v>-8956104.7866222393</c:v>
                </c:pt>
                <c:pt idx="14">
                  <c:v>-8957683.4702251591</c:v>
                </c:pt>
                <c:pt idx="15">
                  <c:v>-8950264.8189086802</c:v>
                </c:pt>
                <c:pt idx="16">
                  <c:v>-8951843.5025116</c:v>
                </c:pt>
                <c:pt idx="17">
                  <c:v>-8953422.1861145198</c:v>
                </c:pt>
                <c:pt idx="18">
                  <c:v>-8955000.8697174396</c:v>
                </c:pt>
                <c:pt idx="19">
                  <c:v>-8956579.5533203594</c:v>
                </c:pt>
                <c:pt idx="20">
                  <c:v>-8949160.9020038806</c:v>
                </c:pt>
                <c:pt idx="21">
                  <c:v>-8950739.5856068004</c:v>
                </c:pt>
                <c:pt idx="22">
                  <c:v>-8952318.2692097202</c:v>
                </c:pt>
                <c:pt idx="23">
                  <c:v>-8953896.95281264</c:v>
                </c:pt>
                <c:pt idx="24">
                  <c:v>-8955475.6364155598</c:v>
                </c:pt>
              </c:numCache>
            </c:numRef>
          </c:xVal>
          <c:yVal>
            <c:numRef>
              <c:f>'Turbine Shift Measurements'!$C$2:$C$26</c:f>
              <c:numCache>
                <c:formatCode>General</c:formatCode>
                <c:ptCount val="25"/>
                <c:pt idx="0">
                  <c:v>-8831068.4888188895</c:v>
                </c:pt>
                <c:pt idx="1">
                  <c:v>-8831643.0826596804</c:v>
                </c:pt>
                <c:pt idx="2">
                  <c:v>-8832217.6765004694</c:v>
                </c:pt>
                <c:pt idx="3">
                  <c:v>-8832792.2703412604</c:v>
                </c:pt>
                <c:pt idx="4">
                  <c:v>-8833366.8641820401</c:v>
                </c:pt>
                <c:pt idx="5">
                  <c:v>-8829288.7903174702</c:v>
                </c:pt>
                <c:pt idx="6">
                  <c:v>-8829863.3841582593</c:v>
                </c:pt>
                <c:pt idx="7">
                  <c:v>-8830437.9779990502</c:v>
                </c:pt>
                <c:pt idx="8">
                  <c:v>-8831012.5718398299</c:v>
                </c:pt>
                <c:pt idx="9">
                  <c:v>-8831587.1656806208</c:v>
                </c:pt>
                <c:pt idx="10">
                  <c:v>-8827509.0918160491</c:v>
                </c:pt>
                <c:pt idx="11">
                  <c:v>-8828083.6856568307</c:v>
                </c:pt>
                <c:pt idx="12">
                  <c:v>-8828658.2794976197</c:v>
                </c:pt>
                <c:pt idx="13">
                  <c:v>-8829232.8733384106</c:v>
                </c:pt>
                <c:pt idx="14">
                  <c:v>-8829807.4671791904</c:v>
                </c:pt>
                <c:pt idx="15">
                  <c:v>-8825729.3933146205</c:v>
                </c:pt>
                <c:pt idx="16">
                  <c:v>-8826303.9871554095</c:v>
                </c:pt>
                <c:pt idx="17">
                  <c:v>-8826878.5809962004</c:v>
                </c:pt>
                <c:pt idx="18">
                  <c:v>-8827453.1748369802</c:v>
                </c:pt>
                <c:pt idx="19">
                  <c:v>-8828027.7686777692</c:v>
                </c:pt>
                <c:pt idx="20">
                  <c:v>-8823949.6948131993</c:v>
                </c:pt>
                <c:pt idx="21">
                  <c:v>-8824524.2886539903</c:v>
                </c:pt>
                <c:pt idx="22">
                  <c:v>-8825098.88249477</c:v>
                </c:pt>
                <c:pt idx="23">
                  <c:v>-8825673.4763355609</c:v>
                </c:pt>
                <c:pt idx="24">
                  <c:v>-8826248.0701763406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E-A04F-8C6E-283335B48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25807"/>
        <c:axId val="1836502911"/>
      </c:scatterChart>
      <c:valAx>
        <c:axId val="174582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02911"/>
        <c:crosses val="autoZero"/>
        <c:crossBetween val="midCat"/>
      </c:valAx>
      <c:valAx>
        <c:axId val="18365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Horns Rev Turbines in Initial and Extreme Positions, UTM Zone 32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'Turbine Shift Measurements'!$A$27</c:f>
              <c:strCache>
                <c:ptCount val="1"/>
                <c:pt idx="0">
                  <c:v>Extreme Farm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'Turbine Shift Measurements'!$D$27:$D$51</c:f>
              <c:numCache>
                <c:formatCode>General</c:formatCode>
                <c:ptCount val="25"/>
                <c:pt idx="0">
                  <c:v>56959.353197439399</c:v>
                </c:pt>
                <c:pt idx="1">
                  <c:v>56959.353197439399</c:v>
                </c:pt>
                <c:pt idx="2">
                  <c:v>56959.353197439399</c:v>
                </c:pt>
                <c:pt idx="3">
                  <c:v>56959.353197439399</c:v>
                </c:pt>
                <c:pt idx="4">
                  <c:v>56959.353197439399</c:v>
                </c:pt>
                <c:pt idx="5">
                  <c:v>55170.782495661297</c:v>
                </c:pt>
                <c:pt idx="6">
                  <c:v>55170.782495661297</c:v>
                </c:pt>
                <c:pt idx="7">
                  <c:v>55170.782495661297</c:v>
                </c:pt>
                <c:pt idx="8">
                  <c:v>55170.782495661297</c:v>
                </c:pt>
                <c:pt idx="9">
                  <c:v>55170.782495661297</c:v>
                </c:pt>
                <c:pt idx="10">
                  <c:v>53382.211793883202</c:v>
                </c:pt>
                <c:pt idx="11">
                  <c:v>53382.211793883202</c:v>
                </c:pt>
                <c:pt idx="12">
                  <c:v>53382.211793883202</c:v>
                </c:pt>
                <c:pt idx="13">
                  <c:v>53382.211793883202</c:v>
                </c:pt>
                <c:pt idx="14">
                  <c:v>53382.211793883202</c:v>
                </c:pt>
                <c:pt idx="15">
                  <c:v>51593.641092105099</c:v>
                </c:pt>
                <c:pt idx="16">
                  <c:v>51593.641092105099</c:v>
                </c:pt>
                <c:pt idx="17">
                  <c:v>51593.641092105099</c:v>
                </c:pt>
                <c:pt idx="18">
                  <c:v>51593.641092105099</c:v>
                </c:pt>
                <c:pt idx="19">
                  <c:v>51593.641092105099</c:v>
                </c:pt>
                <c:pt idx="20">
                  <c:v>49805.070390326997</c:v>
                </c:pt>
                <c:pt idx="21">
                  <c:v>49805.070390326997</c:v>
                </c:pt>
                <c:pt idx="22">
                  <c:v>49805.070390326997</c:v>
                </c:pt>
                <c:pt idx="23">
                  <c:v>49805.070390326997</c:v>
                </c:pt>
                <c:pt idx="24">
                  <c:v>49805.070390326997</c:v>
                </c:pt>
              </c:numCache>
            </c:numRef>
          </c:xVal>
          <c:yVal>
            <c:numRef>
              <c:f>'Turbine Shift Measurements'!$E$27:$E$51</c:f>
              <c:numCache>
                <c:formatCode>General</c:formatCode>
                <c:ptCount val="25"/>
                <c:pt idx="0">
                  <c:v>6182395.4872582396</c:v>
                </c:pt>
                <c:pt idx="1">
                  <c:v>6180715.4872582396</c:v>
                </c:pt>
                <c:pt idx="2">
                  <c:v>6179035.4872582396</c:v>
                </c:pt>
                <c:pt idx="3">
                  <c:v>6177355.4872582396</c:v>
                </c:pt>
                <c:pt idx="4">
                  <c:v>6175675.4872582396</c:v>
                </c:pt>
                <c:pt idx="5">
                  <c:v>6181725.4386984697</c:v>
                </c:pt>
                <c:pt idx="6">
                  <c:v>6180045.4386984697</c:v>
                </c:pt>
                <c:pt idx="7">
                  <c:v>6178365.4386984697</c:v>
                </c:pt>
                <c:pt idx="8">
                  <c:v>6176685.4386984697</c:v>
                </c:pt>
                <c:pt idx="9">
                  <c:v>6175005.4386984697</c:v>
                </c:pt>
                <c:pt idx="10">
                  <c:v>6181055.3901387099</c:v>
                </c:pt>
                <c:pt idx="11">
                  <c:v>6179375.3901387099</c:v>
                </c:pt>
                <c:pt idx="12">
                  <c:v>6177695.3901387099</c:v>
                </c:pt>
                <c:pt idx="13">
                  <c:v>6176015.3901387099</c:v>
                </c:pt>
                <c:pt idx="14">
                  <c:v>6174335.3901387099</c:v>
                </c:pt>
                <c:pt idx="15">
                  <c:v>6180385.3415789502</c:v>
                </c:pt>
                <c:pt idx="16">
                  <c:v>6178705.3415789502</c:v>
                </c:pt>
                <c:pt idx="17">
                  <c:v>6177025.3415789502</c:v>
                </c:pt>
                <c:pt idx="18">
                  <c:v>6175345.3415789502</c:v>
                </c:pt>
                <c:pt idx="19">
                  <c:v>6173665.3415789502</c:v>
                </c:pt>
                <c:pt idx="20">
                  <c:v>6179715.2930191802</c:v>
                </c:pt>
                <c:pt idx="21">
                  <c:v>6178035.2930191802</c:v>
                </c:pt>
                <c:pt idx="22">
                  <c:v>6176355.2930191802</c:v>
                </c:pt>
                <c:pt idx="23">
                  <c:v>6174675.2930191802</c:v>
                </c:pt>
                <c:pt idx="24">
                  <c:v>6172995.2930191802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0-7C42-A614-CB288946E5E8}"/>
            </c:ext>
          </c:extLst>
        </c:ser>
        <c:ser>
          <c:idx val="0"/>
          <c:order val="1"/>
          <c:tx>
            <c:strRef>
              <c:f>'Turbine Shift Measurements'!$A$2</c:f>
              <c:strCache>
                <c:ptCount val="1"/>
                <c:pt idx="0">
                  <c:v>Initial Farm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'Turbine Shift Measurements'!$D$2:$D$26</c:f>
              <c:numCache>
                <c:formatCode>General</c:formatCode>
                <c:ptCount val="25"/>
                <c:pt idx="0">
                  <c:v>56959.353197439399</c:v>
                </c:pt>
                <c:pt idx="1">
                  <c:v>56959.353197439399</c:v>
                </c:pt>
                <c:pt idx="2">
                  <c:v>56959.353197439399</c:v>
                </c:pt>
                <c:pt idx="3">
                  <c:v>56959.353197439399</c:v>
                </c:pt>
                <c:pt idx="4">
                  <c:v>56959.353197439399</c:v>
                </c:pt>
                <c:pt idx="5">
                  <c:v>55745.536504991302</c:v>
                </c:pt>
                <c:pt idx="6">
                  <c:v>55745.536504991302</c:v>
                </c:pt>
                <c:pt idx="7">
                  <c:v>55745.536504991302</c:v>
                </c:pt>
                <c:pt idx="8">
                  <c:v>55745.536504991302</c:v>
                </c:pt>
                <c:pt idx="9">
                  <c:v>55745.536504991302</c:v>
                </c:pt>
                <c:pt idx="10">
                  <c:v>54531.719812543102</c:v>
                </c:pt>
                <c:pt idx="11">
                  <c:v>54531.719812543102</c:v>
                </c:pt>
                <c:pt idx="12">
                  <c:v>54531.719812543102</c:v>
                </c:pt>
                <c:pt idx="13">
                  <c:v>54531.719812543102</c:v>
                </c:pt>
                <c:pt idx="14">
                  <c:v>54531.719812543102</c:v>
                </c:pt>
                <c:pt idx="15">
                  <c:v>53317.903120094998</c:v>
                </c:pt>
                <c:pt idx="16">
                  <c:v>53317.903120094998</c:v>
                </c:pt>
                <c:pt idx="17">
                  <c:v>53317.903120094998</c:v>
                </c:pt>
                <c:pt idx="18">
                  <c:v>53317.903120094998</c:v>
                </c:pt>
                <c:pt idx="19">
                  <c:v>53317.903120094998</c:v>
                </c:pt>
                <c:pt idx="20">
                  <c:v>52104.0864276469</c:v>
                </c:pt>
                <c:pt idx="21">
                  <c:v>52104.0864276469</c:v>
                </c:pt>
                <c:pt idx="22">
                  <c:v>52104.0864276469</c:v>
                </c:pt>
                <c:pt idx="23">
                  <c:v>52104.0864276469</c:v>
                </c:pt>
                <c:pt idx="24">
                  <c:v>52104.0864276469</c:v>
                </c:pt>
              </c:numCache>
            </c:numRef>
          </c:xVal>
          <c:yVal>
            <c:numRef>
              <c:f>'Turbine Shift Measurements'!$E$2:$E$26</c:f>
              <c:numCache>
                <c:formatCode>General</c:formatCode>
                <c:ptCount val="25"/>
                <c:pt idx="0">
                  <c:v>6182395.4872582396</c:v>
                </c:pt>
                <c:pt idx="1">
                  <c:v>6180715.4872582396</c:v>
                </c:pt>
                <c:pt idx="2">
                  <c:v>6179035.4872582396</c:v>
                </c:pt>
                <c:pt idx="3">
                  <c:v>6177355.4872582396</c:v>
                </c:pt>
                <c:pt idx="4">
                  <c:v>6175675.4872582396</c:v>
                </c:pt>
                <c:pt idx="5">
                  <c:v>6180931.8490610598</c:v>
                </c:pt>
                <c:pt idx="6">
                  <c:v>6179251.8490610598</c:v>
                </c:pt>
                <c:pt idx="7">
                  <c:v>6177571.8490610598</c:v>
                </c:pt>
                <c:pt idx="8">
                  <c:v>6175891.8490610598</c:v>
                </c:pt>
                <c:pt idx="9">
                  <c:v>6174211.8490610598</c:v>
                </c:pt>
                <c:pt idx="10">
                  <c:v>6179468.2108638901</c:v>
                </c:pt>
                <c:pt idx="11">
                  <c:v>6177788.2108638901</c:v>
                </c:pt>
                <c:pt idx="12">
                  <c:v>6176108.2108638901</c:v>
                </c:pt>
                <c:pt idx="13">
                  <c:v>6174428.2108638901</c:v>
                </c:pt>
                <c:pt idx="14">
                  <c:v>6172748.2108638901</c:v>
                </c:pt>
                <c:pt idx="15">
                  <c:v>6178004.5726667102</c:v>
                </c:pt>
                <c:pt idx="16">
                  <c:v>6176324.5726667102</c:v>
                </c:pt>
                <c:pt idx="17">
                  <c:v>6174644.5726667102</c:v>
                </c:pt>
                <c:pt idx="18">
                  <c:v>6172964.5726667102</c:v>
                </c:pt>
                <c:pt idx="19">
                  <c:v>6171284.5726667102</c:v>
                </c:pt>
                <c:pt idx="20">
                  <c:v>6176540.9344695397</c:v>
                </c:pt>
                <c:pt idx="21">
                  <c:v>6174860.9344695397</c:v>
                </c:pt>
                <c:pt idx="22">
                  <c:v>6173180.9344695397</c:v>
                </c:pt>
                <c:pt idx="23">
                  <c:v>6171500.9344695397</c:v>
                </c:pt>
                <c:pt idx="24">
                  <c:v>6169820.9344695397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0-7C42-A614-CB288946E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25807"/>
        <c:axId val="1836502911"/>
      </c:scatterChart>
      <c:valAx>
        <c:axId val="174582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02911"/>
        <c:crosses val="autoZero"/>
        <c:crossBetween val="midCat"/>
      </c:valAx>
      <c:valAx>
        <c:axId val="18365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2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chart" Target="../charts/chart4.xml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19</xdr:row>
      <xdr:rowOff>50801</xdr:rowOff>
    </xdr:from>
    <xdr:to>
      <xdr:col>5</xdr:col>
      <xdr:colOff>787400</xdr:colOff>
      <xdr:row>30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60191-5393-B9AE-A5A8-5E0B1539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3098801"/>
          <a:ext cx="3378200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31340</xdr:colOff>
      <xdr:row>19</xdr:row>
      <xdr:rowOff>76199</xdr:rowOff>
    </xdr:from>
    <xdr:to>
      <xdr:col>10</xdr:col>
      <xdr:colOff>736600</xdr:colOff>
      <xdr:row>30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111D18-00B6-76F3-25A1-F32B7F44F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4340" y="3124199"/>
          <a:ext cx="3257960" cy="2349501"/>
        </a:xfrm>
        <a:prstGeom prst="rect">
          <a:avLst/>
        </a:prstGeom>
      </xdr:spPr>
    </xdr:pic>
    <xdr:clientData/>
  </xdr:twoCellAnchor>
  <xdr:twoCellAnchor>
    <xdr:from>
      <xdr:col>11</xdr:col>
      <xdr:colOff>704850</xdr:colOff>
      <xdr:row>18</xdr:row>
      <xdr:rowOff>127000</xdr:rowOff>
    </xdr:from>
    <xdr:to>
      <xdr:col>17</xdr:col>
      <xdr:colOff>323850</xdr:colOff>
      <xdr:row>32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7447E1-76A9-F048-AE7E-34F7B9BA5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723900</xdr:colOff>
      <xdr:row>32</xdr:row>
      <xdr:rowOff>177800</xdr:rowOff>
    </xdr:from>
    <xdr:to>
      <xdr:col>17</xdr:col>
      <xdr:colOff>342900</xdr:colOff>
      <xdr:row>46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B119A5-A75E-974F-8E7A-8F808D34C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25400</xdr:colOff>
      <xdr:row>33</xdr:row>
      <xdr:rowOff>76200</xdr:rowOff>
    </xdr:from>
    <xdr:to>
      <xdr:col>5</xdr:col>
      <xdr:colOff>812800</xdr:colOff>
      <xdr:row>44</xdr:row>
      <xdr:rowOff>152400</xdr:rowOff>
    </xdr:to>
    <xdr:pic>
      <xdr:nvPicPr>
        <xdr:cNvPr id="4" name="Picture 3" descr="A graph of a wind rose&#10;&#10;Description automatically generated">
          <a:extLst>
            <a:ext uri="{FF2B5EF4-FFF2-40B4-BE49-F238E27FC236}">
              <a16:creationId xmlns:a16="http://schemas.microsoft.com/office/drawing/2014/main" id="{73E6CB78-D1B0-386C-A6CD-D606B56C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5969000"/>
          <a:ext cx="3403600" cy="2311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33</xdr:row>
      <xdr:rowOff>38100</xdr:rowOff>
    </xdr:from>
    <xdr:to>
      <xdr:col>10</xdr:col>
      <xdr:colOff>673100</xdr:colOff>
      <xdr:row>44</xdr:row>
      <xdr:rowOff>180124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B8CA58-CE3C-B02A-D89F-8BE410947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0" y="5930900"/>
          <a:ext cx="3175000" cy="237722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</xdr:row>
      <xdr:rowOff>12700</xdr:rowOff>
    </xdr:from>
    <xdr:to>
      <xdr:col>5</xdr:col>
      <xdr:colOff>812800</xdr:colOff>
      <xdr:row>59</xdr:row>
      <xdr:rowOff>189499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5D7659-C397-EE23-11E4-7C0DAED1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8750300"/>
          <a:ext cx="3403600" cy="2615199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0</xdr:rowOff>
    </xdr:from>
    <xdr:to>
      <xdr:col>25</xdr:col>
      <xdr:colOff>444500</xdr:colOff>
      <xdr:row>44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30AF92C-B6E8-9A4A-8341-26C2742D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31340</xdr:colOff>
      <xdr:row>16</xdr:row>
      <xdr:rowOff>76199</xdr:rowOff>
    </xdr:from>
    <xdr:to>
      <xdr:col>10</xdr:col>
      <xdr:colOff>255656</xdr:colOff>
      <xdr:row>27</xdr:row>
      <xdr:rowOff>190499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23C8BD-69E9-F344-8105-4C45468BD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9540" y="3124199"/>
          <a:ext cx="3257960" cy="234950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30</xdr:row>
      <xdr:rowOff>76200</xdr:rowOff>
    </xdr:from>
    <xdr:to>
      <xdr:col>4</xdr:col>
      <xdr:colOff>691492</xdr:colOff>
      <xdr:row>41</xdr:row>
      <xdr:rowOff>152399</xdr:rowOff>
    </xdr:to>
    <xdr:pic>
      <xdr:nvPicPr>
        <xdr:cNvPr id="6" name="Picture 5" descr="A graph of a wind rose&#10;&#10;Description automatically generated">
          <a:extLst>
            <a:ext uri="{FF2B5EF4-FFF2-40B4-BE49-F238E27FC236}">
              <a16:creationId xmlns:a16="http://schemas.microsoft.com/office/drawing/2014/main" id="{546164F0-BA2E-1949-9C06-2466E3D7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5969000"/>
          <a:ext cx="3403600" cy="2311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30</xdr:row>
      <xdr:rowOff>38100</xdr:rowOff>
    </xdr:from>
    <xdr:to>
      <xdr:col>10</xdr:col>
      <xdr:colOff>192156</xdr:colOff>
      <xdr:row>41</xdr:row>
      <xdr:rowOff>180123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C6E8-86D5-1749-A715-2C14984E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5930900"/>
          <a:ext cx="3175000" cy="23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44</xdr:row>
      <xdr:rowOff>63500</xdr:rowOff>
    </xdr:from>
    <xdr:to>
      <xdr:col>4</xdr:col>
      <xdr:colOff>676548</xdr:colOff>
      <xdr:row>57</xdr:row>
      <xdr:rowOff>37098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1BED3A-64D9-B94A-8606-39A9F80C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8801100"/>
          <a:ext cx="3403600" cy="2615199"/>
        </a:xfrm>
        <a:prstGeom prst="rect">
          <a:avLst/>
        </a:prstGeom>
      </xdr:spPr>
    </xdr:pic>
    <xdr:clientData/>
  </xdr:twoCellAnchor>
  <xdr:twoCellAnchor>
    <xdr:from>
      <xdr:col>12</xdr:col>
      <xdr:colOff>650875</xdr:colOff>
      <xdr:row>14</xdr:row>
      <xdr:rowOff>129910</xdr:rowOff>
    </xdr:from>
    <xdr:to>
      <xdr:col>18</xdr:col>
      <xdr:colOff>66146</xdr:colOff>
      <xdr:row>33</xdr:row>
      <xdr:rowOff>13228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08C04ED-020E-0928-348F-A01173176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27312</xdr:colOff>
      <xdr:row>44</xdr:row>
      <xdr:rowOff>136559</xdr:rowOff>
    </xdr:from>
    <xdr:to>
      <xdr:col>10</xdr:col>
      <xdr:colOff>204839</xdr:colOff>
      <xdr:row>57</xdr:row>
      <xdr:rowOff>30042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2C43DC-7CF4-57E0-A2D4-7BC53EDF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4" y="9149462"/>
          <a:ext cx="3195483" cy="25563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409678</xdr:colOff>
      <xdr:row>42</xdr:row>
      <xdr:rowOff>136559</xdr:rowOff>
    </xdr:from>
    <xdr:to>
      <xdr:col>13</xdr:col>
      <xdr:colOff>310126</xdr:colOff>
      <xdr:row>56</xdr:row>
      <xdr:rowOff>189817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0CEEF8-F72B-9D87-B0A8-DB27DD3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73656" y="8739785"/>
          <a:ext cx="3136900" cy="292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778386</xdr:colOff>
      <xdr:row>43</xdr:row>
      <xdr:rowOff>89864</xdr:rowOff>
    </xdr:from>
    <xdr:to>
      <xdr:col>16</xdr:col>
      <xdr:colOff>886813</xdr:colOff>
      <xdr:row>56</xdr:row>
      <xdr:rowOff>83300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87FAFB-DFA9-17A1-F1B0-93E7A30B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78816" y="8897929"/>
          <a:ext cx="3153696" cy="2656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139291</xdr:colOff>
      <xdr:row>27</xdr:row>
      <xdr:rowOff>163871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CF86C6-4A0C-5419-C501-EA89F50C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11" y="3277419"/>
          <a:ext cx="3867355" cy="24170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12</xdr:row>
      <xdr:rowOff>12700</xdr:rowOff>
    </xdr:from>
    <xdr:to>
      <xdr:col>21</xdr:col>
      <xdr:colOff>508000</xdr:colOff>
      <xdr:row>37</xdr:row>
      <xdr:rowOff>32124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28C568-0310-DE4C-A909-F7922819E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0" y="2451100"/>
          <a:ext cx="3492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211667</xdr:colOff>
      <xdr:row>59</xdr:row>
      <xdr:rowOff>30239</xdr:rowOff>
    </xdr:from>
    <xdr:to>
      <xdr:col>15</xdr:col>
      <xdr:colOff>488867</xdr:colOff>
      <xdr:row>77</xdr:row>
      <xdr:rowOff>107551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A23EA-8845-5246-9DFA-7A3EB3B37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12</xdr:row>
      <xdr:rowOff>12700</xdr:rowOff>
    </xdr:from>
    <xdr:to>
      <xdr:col>21</xdr:col>
      <xdr:colOff>508000</xdr:colOff>
      <xdr:row>37</xdr:row>
      <xdr:rowOff>32124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3948D-7187-CA42-894B-79F5FFA2A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616200"/>
          <a:ext cx="3492500" cy="5150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15</xdr:col>
      <xdr:colOff>277200</xdr:colOff>
      <xdr:row>47</xdr:row>
      <xdr:rowOff>77312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7D98E-0061-4B4A-96D2-5D6954988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12</xdr:row>
      <xdr:rowOff>12700</xdr:rowOff>
    </xdr:from>
    <xdr:to>
      <xdr:col>21</xdr:col>
      <xdr:colOff>508000</xdr:colOff>
      <xdr:row>37</xdr:row>
      <xdr:rowOff>32124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90320-8152-BF4F-A8DE-A677B0DC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616200"/>
          <a:ext cx="3492500" cy="5150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15</xdr:col>
      <xdr:colOff>277200</xdr:colOff>
      <xdr:row>47</xdr:row>
      <xdr:rowOff>77312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9352B-5775-8448-889D-6F6CA7BFA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12</xdr:row>
      <xdr:rowOff>12700</xdr:rowOff>
    </xdr:from>
    <xdr:to>
      <xdr:col>21</xdr:col>
      <xdr:colOff>508000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F41C8-6953-5A49-935E-C31B2885D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0900" y="2616200"/>
          <a:ext cx="3492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25401</xdr:colOff>
      <xdr:row>5</xdr:row>
      <xdr:rowOff>0</xdr:rowOff>
    </xdr:from>
    <xdr:to>
      <xdr:col>8</xdr:col>
      <xdr:colOff>800101</xdr:colOff>
      <xdr:row>6</xdr:row>
      <xdr:rowOff>10160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4C06C6-5D8D-0945-93B1-541B5409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1" y="2222500"/>
          <a:ext cx="774700" cy="61976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</xdr:row>
      <xdr:rowOff>1</xdr:rowOff>
    </xdr:from>
    <xdr:to>
      <xdr:col>8</xdr:col>
      <xdr:colOff>774700</xdr:colOff>
      <xdr:row>4</xdr:row>
      <xdr:rowOff>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672C38-2E72-FF4A-8873-3D0C42B9D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7800" y="1016001"/>
          <a:ext cx="736600" cy="606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4</xdr:row>
      <xdr:rowOff>0</xdr:rowOff>
    </xdr:from>
    <xdr:to>
      <xdr:col>8</xdr:col>
      <xdr:colOff>800100</xdr:colOff>
      <xdr:row>4</xdr:row>
      <xdr:rowOff>565690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1A51B2-DF31-AE4C-8F72-3F73FA6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5100" y="1612900"/>
          <a:ext cx="774700" cy="56569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2</xdr:row>
      <xdr:rowOff>38101</xdr:rowOff>
    </xdr:from>
    <xdr:to>
      <xdr:col>8</xdr:col>
      <xdr:colOff>774701</xdr:colOff>
      <xdr:row>2</xdr:row>
      <xdr:rowOff>580447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E15F95-F4DA-FA4D-A002-9AB8AC9B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2401" y="457201"/>
          <a:ext cx="762000" cy="542346"/>
        </a:xfrm>
        <a:prstGeom prst="rect">
          <a:avLst/>
        </a:prstGeom>
      </xdr:spPr>
    </xdr:pic>
    <xdr:clientData/>
  </xdr:twoCellAnchor>
  <xdr:twoCellAnchor editAs="oneCell">
    <xdr:from>
      <xdr:col>8</xdr:col>
      <xdr:colOff>50801</xdr:colOff>
      <xdr:row>6</xdr:row>
      <xdr:rowOff>38101</xdr:rowOff>
    </xdr:from>
    <xdr:to>
      <xdr:col>8</xdr:col>
      <xdr:colOff>797449</xdr:colOff>
      <xdr:row>7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FEEF1D-19B6-3246-8E7C-C98636F4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1" y="2870201"/>
          <a:ext cx="746648" cy="584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7</xdr:row>
      <xdr:rowOff>88900</xdr:rowOff>
    </xdr:from>
    <xdr:to>
      <xdr:col>8</xdr:col>
      <xdr:colOff>762001</xdr:colOff>
      <xdr:row>7</xdr:row>
      <xdr:rowOff>582067</xdr:rowOff>
    </xdr:to>
    <xdr:pic>
      <xdr:nvPicPr>
        <xdr:cNvPr id="7" name="Picture 6" descr="A graph of a wind rose&#10;&#10;Description automatically generated">
          <a:extLst>
            <a:ext uri="{FF2B5EF4-FFF2-40B4-BE49-F238E27FC236}">
              <a16:creationId xmlns:a16="http://schemas.microsoft.com/office/drawing/2014/main" id="{70631362-F718-1546-9A85-60B725C6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1" y="3543300"/>
          <a:ext cx="749300" cy="4931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660400</xdr:colOff>
      <xdr:row>9</xdr:row>
      <xdr:rowOff>101600</xdr:rowOff>
    </xdr:from>
    <xdr:to>
      <xdr:col>20</xdr:col>
      <xdr:colOff>596900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161D6-6EBD-F4CC-19AB-10694B7C1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673100</xdr:colOff>
      <xdr:row>35</xdr:row>
      <xdr:rowOff>12700</xdr:rowOff>
    </xdr:from>
    <xdr:to>
      <xdr:col>20</xdr:col>
      <xdr:colOff>609600</xdr:colOff>
      <xdr:row>59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F44C7-5A46-8D47-929E-1EC3736C2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amus Flannery" id="{E9ECD584-9560-1A4A-8BBF-D5E6502C41E7}" userId="S::s2523602@ed.ac.uk::2289d495-4609-4333-b4f8-9d5d6003c706" providerId="AD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2">
  <rv s="0">
    <v>0</v>
    <v>GBP/USD</v>
    <v>2</v>
    <v>3</v>
    <v>Finance</v>
    <v>4</v>
    <v>en-US</v>
    <v>avyjhw</v>
    <v>268435456</v>
    <v>1</v>
    <v>Powered by Refinitiv</v>
    <v>1.3044</v>
    <v>1.2035</v>
    <v>8.6999999999999994E-3</v>
    <v>6.7700000000000008E-3</v>
    <v>USD</v>
    <v>GBP</v>
    <v>1.2945</v>
    <v>Currency Pair</v>
    <v>45520.827499999999</v>
    <v>1.2853000000000001</v>
    <v>UK Pound Sterling/US Dollar FX Spot Rate</v>
    <v>1.2850999999999999</v>
    <v>1.2850999999999999</v>
    <v>1.2938000000000001</v>
    <v>GBPUSD</v>
    <v>GBP/USD</v>
  </rv>
  <rv s="1">
    <v>0</v>
  </rv>
</rvData>
</file>

<file path=xl/richData/rdrichvaluestructure.xml><?xml version="1.0" encoding="utf-8"?>
<rvStructures xmlns="http://schemas.microsoft.com/office/spreadsheetml/2017/richdata" count="2">
  <s t="_linkedentitycore">
    <k n="_Display" t="spb"/>
    <k n="_DisplayString" t="s"/>
    <k n="_Flags" t="spb"/>
    <k n="_Format" t="spb"/>
    <k n="_Icon" t="s"/>
    <k n="_SubLabel" t="spb"/>
    <k n="%EntityCulture" t="s"/>
    <k n="%EntityId" t="s"/>
    <k n="%EntityServiceId"/>
    <k n="%IsRefreshable" t="b"/>
    <k n="%ProviderInfo" t="s"/>
    <k n="52 week high"/>
    <k n="52 week low"/>
    <k n="Change"/>
    <k n="Change (%)"/>
    <k n="Currency" t="s"/>
    <k n="From currency" t="s"/>
    <k n="High"/>
    <k n="Instrument type" t="s"/>
    <k n="Last trade time"/>
    <k n="Low"/>
    <k n="Name" t="s"/>
    <k n="Open"/>
    <k n="Previous close"/>
    <k n="Price"/>
    <k n="Ticker symbol" t="s"/>
    <k n="UniqueName" t="s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27">
      <v t="s">%EntityServiceId</v>
      <v t="s">_Format</v>
      <v t="s">%IsRefreshable</v>
      <v t="s">%EntityCulture</v>
      <v t="s">%EntityId</v>
      <v t="s">_Icon</v>
      <v t="s">_Display</v>
      <v t="s">Name</v>
      <v t="s">Price</v>
      <v t="s">_SubLabel</v>
      <v t="s">Last trade time</v>
      <v t="s">Ticker symbol</v>
      <v t="s">Change</v>
      <v t="s">Change (%)</v>
      <v t="s">Currency</v>
      <v t="s">From currency</v>
      <v t="s">Previous close</v>
      <v t="s">Open</v>
      <v t="s">High</v>
      <v t="s">Low</v>
      <v t="s">52 week high</v>
      <v t="s">52 week low</v>
      <v t="s">Instrument type</v>
      <v t="s">_Flags</v>
      <v t="s">UniqueName</v>
      <v t="s">_DisplayString</v>
      <v t="s">%ProviderInfo</v>
    </a>
  </spbArrays>
  <spbData count="5">
    <spb s="0">
      <v>0</v>
      <v>Name</v>
    </spb>
    <spb s="1">
      <v>0</v>
      <v>0</v>
      <v>0</v>
    </spb>
    <spb s="2">
      <v>1</v>
      <v>1</v>
    </spb>
    <spb s="3">
      <v>1</v>
      <v>1</v>
      <v>2</v>
      <v>1</v>
      <v>1</v>
      <v>1</v>
      <v>3</v>
      <v>1</v>
      <v>1</v>
      <v>1</v>
      <v>4</v>
      <v>5</v>
    </spb>
    <spb s="4"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Low" t="i"/>
    <k n="High" t="i"/>
    <k n="Name" t="i"/>
    <k n="Open" t="i"/>
    <k n="Price" t="i"/>
    <k n="Change" t="i"/>
    <k n="Change (%)" t="i"/>
    <k n="52 week low" t="i"/>
    <k n="52 week high" t="i"/>
    <k n="Previous close" t="i"/>
    <k n="Last trade time" t="i"/>
    <k n="`%EntityServiceId" t="i"/>
  </s>
  <s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4">
    <x:dxf>
      <x:numFmt numFmtId="2" formatCode="0.00"/>
    </x:dxf>
    <x:dxf>
      <x:numFmt numFmtId="0" formatCode="General"/>
    </x:dxf>
    <x:dxf>
      <x:numFmt numFmtId="27" formatCode="m/d/yy\ h:mm"/>
    </x:dxf>
    <x:dxf>
      <x:numFmt numFmtId="14" formatCode="0.00%"/>
    </x:dxf>
  </dxfs>
  <richProperties>
    <rPr n="NumberFormat" t="s"/>
    <rPr n="IsTitleField" t="b"/>
  </richProperties>
  <richStyles>
    <rSty dxfid="1">
      <rpv i="0">_([$$-en-US]* #,##0.00_);_([$$-en-US]* (#,##0.00);_([$$-en-US]* "-"??_);_(@_)</rpv>
    </rSty>
    <rSty>
      <rpv i="1">1</rpv>
    </rSty>
    <rSty dxfid="3"/>
    <rSty dxfid="2"/>
    <rSty dxfid="0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2" dT="2024-07-31T15:16:23.96" personId="{E9ECD584-9560-1A4A-8BBF-D5E6502C41E7}" id="{7FEE4990-3C55-664D-ACB1-6D5B0B3EC1AD}">
    <text xml:space="preserve">https://www.grantthornton.global/en/insights/articles/tipping-point-to-grid-parity/#:~:text=Some%20key%20results%20of%20the,wind%20and%20offshore%20wind%20respectively
</text>
    <extLst>
      <x:ext xmlns:xltc2="http://schemas.microsoft.com/office/spreadsheetml/2020/threadedcomments2" uri="{F7C98A9C-CBB3-438F-8F68-D28B6AF4A901}">
        <xltc2:checksum>2668209247</xltc2:checksum>
        <xltc2:hyperlink startIndex="0" length="167" url="https://www.grantthornton.global/en/insights/articles/tipping-point-to-grid-parity/#:~:text=Some%20key%20results%20of%20the,wind%20and%20offshore%20wind%20respectively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B2" dT="2024-07-31T15:16:23.96" personId="{E9ECD584-9560-1A4A-8BBF-D5E6502C41E7}" id="{71DEF7B2-7C67-D342-9C08-7116799A6883}">
    <text xml:space="preserve">https://www.grantthornton.global/en/insights/articles/tipping-point-to-grid-parity/#:~:text=Some%20key%20results%20of%20the,wind%20and%20offshore%20wind%20respectively
</text>
    <extLst>
      <x:ext xmlns:xltc2="http://schemas.microsoft.com/office/spreadsheetml/2020/threadedcomments2" uri="{F7C98A9C-CBB3-438F-8F68-D28B6AF4A901}">
        <xltc2:checksum>2668209247</xltc2:checksum>
        <xltc2:hyperlink startIndex="0" length="167" url="https://www.grantthornton.global/en/insights/articles/tipping-point-to-grid-parity/#:~:text=Some%20key%20results%20of%20the,wind%20and%20offshore%20wind%20respectively"/>
      </x:ext>
    </extLs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2" dT="2024-07-31T15:16:23.96" personId="{E9ECD584-9560-1A4A-8BBF-D5E6502C41E7}" id="{D43561E9-3E09-A444-9600-48E7B9932CA6}">
    <text xml:space="preserve">https://www.grantthornton.global/en/insights/articles/tipping-point-to-grid-parity/#:~:text=Some%20key%20results%20of%20the,wind%20and%20offshore%20wind%20respectively
</text>
    <extLst>
      <x:ext xmlns:xltc2="http://schemas.microsoft.com/office/spreadsheetml/2020/threadedcomments2" uri="{F7C98A9C-CBB3-438F-8F68-D28B6AF4A901}">
        <xltc2:checksum>2668209247</xltc2:checksum>
        <xltc2:hyperlink startIndex="0" length="167" url="https://www.grantthornton.global/en/insights/articles/tipping-point-to-grid-parity/#:~:text=Some%20key%20results%20of%20the,wind%20and%20offshore%20wind%20respectively"/>
      </x:ext>
    </extLs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2" dT="2024-07-31T15:16:23.96" personId="{E9ECD584-9560-1A4A-8BBF-D5E6502C41E7}" id="{BCDC6B31-FD41-6C47-91D7-16295D551774}">
    <text xml:space="preserve">https://www.grantthornton.global/en/insights/articles/tipping-point-to-grid-parity/#:~:text=Some%20key%20results%20of%20the,wind%20and%20offshore%20wind%20respectively
</text>
    <extLst>
      <x:ext xmlns:xltc2="http://schemas.microsoft.com/office/spreadsheetml/2020/threadedcomments2" uri="{F7C98A9C-CBB3-438F-8F68-D28B6AF4A901}">
        <xltc2:checksum>2668209247</xltc2:checksum>
        <xltc2:hyperlink startIndex="0" length="167" url="https://www.grantthornton.global/en/insights/articles/tipping-point-to-grid-parity/#:~:text=Some%20key%20results%20of%20the,wind%20and%20offshore%20wind%20respectively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AC4FB-C3AC-C347-9BC5-591367B8BC3A}">
  <dimension ref="A1:P47"/>
  <sheetViews>
    <sheetView workbookViewId="0">
      <selection activeCell="B10" sqref="B10:G15"/>
    </sheetView>
  </sheetViews>
  <sheetFormatPr baseColWidth="10" defaultColWidth="11" defaultRowHeight="16" x14ac:dyDescent="0.2"/>
  <cols>
    <col min="3" max="3" width="12.6640625" customWidth="1"/>
    <col min="10" max="10" width="11.83203125" customWidth="1"/>
  </cols>
  <sheetData>
    <row r="1" spans="1:16" x14ac:dyDescent="0.2">
      <c r="C1" s="7" t="s">
        <v>6</v>
      </c>
      <c r="D1" s="8"/>
      <c r="E1" s="8"/>
      <c r="F1" s="8"/>
      <c r="G1" s="8"/>
      <c r="H1" s="8"/>
      <c r="I1" s="8"/>
      <c r="J1" s="11" t="s">
        <v>5</v>
      </c>
      <c r="K1" s="3"/>
      <c r="L1" s="3"/>
      <c r="M1" s="3"/>
      <c r="N1" s="3"/>
      <c r="O1" s="3"/>
      <c r="P1" s="3"/>
    </row>
    <row r="2" spans="1:16" x14ac:dyDescent="0.2">
      <c r="A2" s="3"/>
      <c r="B2" s="5" t="s">
        <v>8</v>
      </c>
      <c r="C2" s="9" t="s">
        <v>4</v>
      </c>
      <c r="D2" s="9">
        <v>1</v>
      </c>
      <c r="E2" s="9">
        <v>5</v>
      </c>
      <c r="F2" s="9">
        <v>10</v>
      </c>
      <c r="G2" s="9">
        <v>20</v>
      </c>
      <c r="H2" s="9">
        <v>40</v>
      </c>
      <c r="I2" s="9">
        <v>90</v>
      </c>
      <c r="J2" s="4" t="s">
        <v>4</v>
      </c>
      <c r="K2" s="4">
        <v>1</v>
      </c>
      <c r="L2" s="4">
        <v>5</v>
      </c>
      <c r="M2" s="4">
        <v>10</v>
      </c>
      <c r="N2" s="4">
        <v>20</v>
      </c>
      <c r="O2" s="4">
        <v>40</v>
      </c>
      <c r="P2" s="4">
        <v>90</v>
      </c>
    </row>
    <row r="3" spans="1:16" x14ac:dyDescent="0.2">
      <c r="A3" s="4" t="s">
        <v>19</v>
      </c>
      <c r="B3" s="6" t="s">
        <v>9</v>
      </c>
      <c r="C3" s="8" t="s">
        <v>12</v>
      </c>
      <c r="D3" s="10">
        <v>2.3E-2</v>
      </c>
      <c r="E3" s="10">
        <v>2.3E-2</v>
      </c>
      <c r="F3" s="10">
        <v>2.3E-2</v>
      </c>
      <c r="G3" s="10">
        <v>2.4E-2</v>
      </c>
      <c r="H3" s="10">
        <v>2.3E-2</v>
      </c>
      <c r="I3" s="10">
        <v>0.02</v>
      </c>
      <c r="J3" s="3" t="s">
        <v>12</v>
      </c>
      <c r="K3" s="3">
        <v>3215</v>
      </c>
      <c r="L3" s="3">
        <v>1826</v>
      </c>
      <c r="M3" s="3">
        <v>1291</v>
      </c>
      <c r="N3" s="3">
        <v>929</v>
      </c>
      <c r="O3" s="3">
        <v>633</v>
      </c>
      <c r="P3" s="3">
        <v>380</v>
      </c>
    </row>
    <row r="4" spans="1:16" x14ac:dyDescent="0.2">
      <c r="A4" s="4" t="s">
        <v>1</v>
      </c>
      <c r="B4" s="6" t="s">
        <v>10</v>
      </c>
      <c r="C4" s="8"/>
      <c r="D4" s="10">
        <v>2.3E-2</v>
      </c>
      <c r="E4" s="10">
        <v>2.3E-2</v>
      </c>
      <c r="F4" s="10">
        <v>2.3E-2</v>
      </c>
      <c r="G4" s="10">
        <v>2.1000000000000001E-2</v>
      </c>
      <c r="H4" s="10">
        <v>1.9E-2</v>
      </c>
      <c r="I4" s="10">
        <v>1.7999999999999999E-2</v>
      </c>
      <c r="J4" s="3"/>
      <c r="K4" s="3">
        <v>3070</v>
      </c>
      <c r="L4" s="3">
        <v>1646</v>
      </c>
      <c r="M4" s="3">
        <v>1044</v>
      </c>
      <c r="N4" s="3">
        <v>582</v>
      </c>
      <c r="O4" s="3">
        <v>314</v>
      </c>
      <c r="P4" s="3">
        <v>158</v>
      </c>
    </row>
    <row r="5" spans="1:16" x14ac:dyDescent="0.2">
      <c r="A5" s="4" t="s">
        <v>0</v>
      </c>
      <c r="B5" s="6" t="s">
        <v>151</v>
      </c>
      <c r="C5" s="8"/>
      <c r="D5" s="10">
        <v>1.6E-2</v>
      </c>
      <c r="E5" s="10">
        <v>1.2999999999999999E-2</v>
      </c>
      <c r="F5" s="10">
        <v>0.01</v>
      </c>
      <c r="G5" s="10">
        <v>2E-3</v>
      </c>
      <c r="H5" s="10">
        <v>1E-3</v>
      </c>
      <c r="I5" s="10">
        <v>-0.02</v>
      </c>
      <c r="J5" s="3"/>
      <c r="K5" s="3">
        <v>3245</v>
      </c>
      <c r="L5" s="3">
        <v>1766</v>
      </c>
      <c r="M5" s="3">
        <v>1110</v>
      </c>
      <c r="N5" s="3">
        <v>596</v>
      </c>
      <c r="O5" s="3">
        <v>292</v>
      </c>
      <c r="P5" s="3">
        <v>110</v>
      </c>
    </row>
    <row r="6" spans="1:16" x14ac:dyDescent="0.2">
      <c r="A6" s="4" t="s">
        <v>40</v>
      </c>
      <c r="B6" s="6" t="s">
        <v>150</v>
      </c>
      <c r="C6" s="8"/>
      <c r="D6" s="10"/>
      <c r="E6" s="10"/>
      <c r="F6" s="10"/>
      <c r="G6" s="10"/>
      <c r="H6" s="10"/>
      <c r="I6" s="10"/>
      <c r="J6" s="3"/>
      <c r="K6" s="3">
        <f>6590/2</f>
        <v>3295</v>
      </c>
      <c r="L6" s="3">
        <f>3934/2</f>
        <v>1967</v>
      </c>
      <c r="M6" s="3">
        <f>2514/2</f>
        <v>1257</v>
      </c>
      <c r="N6" s="3">
        <f>1452/2</f>
        <v>726</v>
      </c>
      <c r="O6" s="3">
        <f>758/2</f>
        <v>379</v>
      </c>
      <c r="P6" s="3">
        <f>354/2</f>
        <v>177</v>
      </c>
    </row>
    <row r="7" spans="1:16" x14ac:dyDescent="0.2">
      <c r="A7" s="4" t="s">
        <v>2</v>
      </c>
      <c r="B7" s="6" t="s">
        <v>13</v>
      </c>
      <c r="C7" s="8"/>
      <c r="D7" s="10">
        <v>1.2E-2</v>
      </c>
      <c r="E7" s="10">
        <v>1.0999999999999999E-2</v>
      </c>
      <c r="F7" s="10">
        <v>1.0999999999999999E-2</v>
      </c>
      <c r="G7" s="10">
        <v>8.9999999999999993E-3</v>
      </c>
      <c r="H7" s="10">
        <v>-0.08</v>
      </c>
      <c r="I7" s="10">
        <v>-7.9000000000000001E-2</v>
      </c>
      <c r="J7" s="3"/>
      <c r="K7" s="3">
        <v>3062</v>
      </c>
      <c r="L7" s="3">
        <v>1512</v>
      </c>
      <c r="M7" s="3">
        <v>905</v>
      </c>
      <c r="N7" s="3">
        <v>472</v>
      </c>
      <c r="O7" s="3">
        <v>233</v>
      </c>
      <c r="P7" s="3">
        <v>111</v>
      </c>
    </row>
    <row r="8" spans="1:16" x14ac:dyDescent="0.2">
      <c r="A8" s="4" t="s">
        <v>3</v>
      </c>
      <c r="B8" s="6" t="s">
        <v>15</v>
      </c>
      <c r="C8" s="8"/>
      <c r="D8" s="10">
        <v>5.0000000000000001E-3</v>
      </c>
      <c r="E8" s="10">
        <v>5.0000000000000001E-3</v>
      </c>
      <c r="F8" s="10">
        <v>5.0000000000000001E-3</v>
      </c>
      <c r="G8" s="10">
        <v>-1.2999999999999999E-2</v>
      </c>
      <c r="H8" s="10">
        <v>-8.6999999999999994E-2</v>
      </c>
      <c r="I8" s="10">
        <v>-8.3000000000000004E-2</v>
      </c>
      <c r="J8" s="3"/>
      <c r="K8" s="3">
        <v>2825</v>
      </c>
      <c r="L8" s="3">
        <v>1348</v>
      </c>
      <c r="M8" s="3">
        <v>804</v>
      </c>
      <c r="N8" s="3">
        <v>441</v>
      </c>
      <c r="O8" s="3">
        <v>217</v>
      </c>
      <c r="P8" s="3">
        <v>117</v>
      </c>
    </row>
    <row r="9" spans="1:16" x14ac:dyDescent="0.2">
      <c r="A9" s="1"/>
      <c r="D9" s="136"/>
      <c r="E9" s="136"/>
      <c r="F9" s="136"/>
      <c r="G9" s="136"/>
      <c r="H9" s="136"/>
      <c r="I9" s="136"/>
      <c r="J9" s="135" t="s">
        <v>152</v>
      </c>
      <c r="K9" s="135"/>
      <c r="L9" s="135"/>
      <c r="M9" s="135"/>
      <c r="N9" s="135"/>
      <c r="O9" s="135"/>
      <c r="P9" s="135"/>
    </row>
    <row r="10" spans="1:16" x14ac:dyDescent="0.2">
      <c r="B10" s="238" t="s">
        <v>307</v>
      </c>
      <c r="C10" s="238"/>
      <c r="D10" s="238"/>
      <c r="E10" s="238"/>
      <c r="F10" s="238"/>
      <c r="G10" s="238"/>
      <c r="J10" s="135" t="s">
        <v>19</v>
      </c>
      <c r="K10" s="143">
        <f>K3*2/365</f>
        <v>17.616438356164384</v>
      </c>
      <c r="L10" s="143">
        <f t="shared" ref="L10:P10" si="0">L3*2/365</f>
        <v>10.005479452054795</v>
      </c>
      <c r="M10" s="143">
        <f t="shared" si="0"/>
        <v>7.0739726027397261</v>
      </c>
      <c r="N10" s="143">
        <f t="shared" si="0"/>
        <v>5.0904109589041093</v>
      </c>
      <c r="O10" s="143">
        <f t="shared" si="0"/>
        <v>3.4684931506849317</v>
      </c>
      <c r="P10" s="143">
        <f t="shared" si="0"/>
        <v>2.0821917808219177</v>
      </c>
    </row>
    <row r="11" spans="1:16" x14ac:dyDescent="0.2">
      <c r="B11" s="238"/>
      <c r="C11" s="238"/>
      <c r="D11" s="238"/>
      <c r="E11" s="238"/>
      <c r="F11" s="238"/>
      <c r="G11" s="238"/>
      <c r="J11" s="135" t="s">
        <v>1</v>
      </c>
      <c r="K11" s="143">
        <f t="shared" ref="K11:P11" si="1">K4*2/365</f>
        <v>16.82191780821918</v>
      </c>
      <c r="L11" s="143">
        <f t="shared" si="1"/>
        <v>9.0191780821917806</v>
      </c>
      <c r="M11" s="143">
        <f t="shared" si="1"/>
        <v>5.720547945205479</v>
      </c>
      <c r="N11" s="143">
        <f t="shared" si="1"/>
        <v>3.1890410958904107</v>
      </c>
      <c r="O11" s="143">
        <f t="shared" si="1"/>
        <v>1.7205479452054795</v>
      </c>
      <c r="P11" s="143">
        <f t="shared" si="1"/>
        <v>0.86575342465753424</v>
      </c>
    </row>
    <row r="12" spans="1:16" x14ac:dyDescent="0.2">
      <c r="B12" s="238"/>
      <c r="C12" s="238"/>
      <c r="D12" s="238"/>
      <c r="E12" s="238"/>
      <c r="F12" s="238"/>
      <c r="G12" s="238"/>
      <c r="J12" s="135" t="s">
        <v>35</v>
      </c>
      <c r="K12" s="143">
        <f t="shared" ref="K12:P12" si="2">K5*2/365</f>
        <v>17.780821917808218</v>
      </c>
      <c r="L12" s="143">
        <f t="shared" si="2"/>
        <v>9.6767123287671239</v>
      </c>
      <c r="M12" s="143">
        <f t="shared" si="2"/>
        <v>6.0821917808219181</v>
      </c>
      <c r="N12" s="143">
        <f t="shared" si="2"/>
        <v>3.2657534246575342</v>
      </c>
      <c r="O12" s="143">
        <f t="shared" si="2"/>
        <v>1.6</v>
      </c>
      <c r="P12" s="143">
        <f t="shared" si="2"/>
        <v>0.60273972602739723</v>
      </c>
    </row>
    <row r="13" spans="1:16" x14ac:dyDescent="0.2">
      <c r="B13" s="238"/>
      <c r="C13" s="238"/>
      <c r="D13" s="238"/>
      <c r="E13" s="238"/>
      <c r="F13" s="238"/>
      <c r="G13" s="238"/>
      <c r="J13" s="135" t="s">
        <v>40</v>
      </c>
      <c r="K13" s="143">
        <f t="shared" ref="K13:P13" si="3">K6*2/365</f>
        <v>18.054794520547944</v>
      </c>
      <c r="L13" s="143">
        <f t="shared" si="3"/>
        <v>10.778082191780822</v>
      </c>
      <c r="M13" s="143">
        <f t="shared" si="3"/>
        <v>6.8876712328767127</v>
      </c>
      <c r="N13" s="143">
        <f t="shared" si="3"/>
        <v>3.978082191780822</v>
      </c>
      <c r="O13" s="143">
        <f t="shared" si="3"/>
        <v>2.0767123287671234</v>
      </c>
      <c r="P13" s="143">
        <f t="shared" si="3"/>
        <v>0.96986301369863015</v>
      </c>
    </row>
    <row r="14" spans="1:16" x14ac:dyDescent="0.2">
      <c r="B14" s="238"/>
      <c r="C14" s="238"/>
      <c r="D14" s="238"/>
      <c r="E14" s="238"/>
      <c r="F14" s="238"/>
      <c r="G14" s="238"/>
      <c r="J14" s="135" t="s">
        <v>2</v>
      </c>
      <c r="K14" s="143">
        <f t="shared" ref="K14:P14" si="4">K7*2/365</f>
        <v>16.778082191780822</v>
      </c>
      <c r="L14" s="143">
        <f t="shared" si="4"/>
        <v>8.2849315068493148</v>
      </c>
      <c r="M14" s="143">
        <f t="shared" si="4"/>
        <v>4.9589041095890414</v>
      </c>
      <c r="N14" s="143">
        <f t="shared" si="4"/>
        <v>2.5863013698630137</v>
      </c>
      <c r="O14" s="143">
        <f t="shared" si="4"/>
        <v>1.2767123287671234</v>
      </c>
      <c r="P14" s="143">
        <f t="shared" si="4"/>
        <v>0.60821917808219184</v>
      </c>
    </row>
    <row r="15" spans="1:16" x14ac:dyDescent="0.2">
      <c r="B15" s="238"/>
      <c r="C15" s="238"/>
      <c r="D15" s="238"/>
      <c r="E15" s="238"/>
      <c r="F15" s="238"/>
      <c r="G15" s="238"/>
      <c r="J15" s="135" t="s">
        <v>3</v>
      </c>
      <c r="K15" s="143">
        <f t="shared" ref="K15:P15" si="5">K8*2/365</f>
        <v>15.479452054794521</v>
      </c>
      <c r="L15" s="143">
        <f t="shared" si="5"/>
        <v>7.3863013698630136</v>
      </c>
      <c r="M15" s="143">
        <f t="shared" si="5"/>
        <v>4.4054794520547942</v>
      </c>
      <c r="N15" s="143">
        <f t="shared" si="5"/>
        <v>2.4164383561643836</v>
      </c>
      <c r="O15" s="143">
        <f t="shared" si="5"/>
        <v>1.189041095890411</v>
      </c>
      <c r="P15" s="143">
        <f t="shared" si="5"/>
        <v>0.64109589041095894</v>
      </c>
    </row>
    <row r="17" spans="3:13" x14ac:dyDescent="0.2">
      <c r="C17" s="2" t="s">
        <v>7</v>
      </c>
      <c r="M17" s="2" t="s">
        <v>11</v>
      </c>
    </row>
    <row r="19" spans="3:13" x14ac:dyDescent="0.2">
      <c r="C19" s="1" t="s">
        <v>19</v>
      </c>
      <c r="H19" s="1" t="s">
        <v>0</v>
      </c>
    </row>
    <row r="33" spans="3:8" x14ac:dyDescent="0.2">
      <c r="C33" s="1" t="s">
        <v>3</v>
      </c>
      <c r="H33" s="1" t="s">
        <v>1</v>
      </c>
    </row>
    <row r="47" spans="3:8" x14ac:dyDescent="0.2">
      <c r="C47" s="1" t="s">
        <v>2</v>
      </c>
    </row>
  </sheetData>
  <mergeCells count="1">
    <mergeCell ref="B10:G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1DF2-613D-CF42-83C1-AA1CE29A1B3F}">
  <dimension ref="A1:T93"/>
  <sheetViews>
    <sheetView zoomScale="93" zoomScaleNormal="93" workbookViewId="0">
      <selection activeCell="I13" sqref="I13"/>
    </sheetView>
  </sheetViews>
  <sheetFormatPr baseColWidth="10" defaultColWidth="11" defaultRowHeight="16" x14ac:dyDescent="0.2"/>
  <cols>
    <col min="2" max="2" width="13.1640625" bestFit="1" customWidth="1"/>
    <col min="3" max="3" width="12.83203125" bestFit="1" customWidth="1"/>
    <col min="4" max="4" width="9.83203125" customWidth="1"/>
    <col min="5" max="5" width="13.1640625" bestFit="1" customWidth="1"/>
    <col min="6" max="6" width="12.83203125" bestFit="1" customWidth="1"/>
    <col min="7" max="7" width="16" bestFit="1" customWidth="1"/>
    <col min="9" max="9" width="12.83203125" bestFit="1" customWidth="1"/>
    <col min="10" max="10" width="16" bestFit="1" customWidth="1"/>
    <col min="11" max="12" width="13.33203125" bestFit="1" customWidth="1"/>
    <col min="13" max="13" width="16" bestFit="1" customWidth="1"/>
    <col min="15" max="15" width="13.33203125" bestFit="1" customWidth="1"/>
    <col min="16" max="16" width="16" bestFit="1" customWidth="1"/>
    <col min="17" max="17" width="12.6640625" bestFit="1" customWidth="1"/>
    <col min="18" max="18" width="13.33203125" bestFit="1" customWidth="1"/>
    <col min="19" max="19" width="16" bestFit="1" customWidth="1"/>
  </cols>
  <sheetData>
    <row r="1" spans="1:19" x14ac:dyDescent="0.2">
      <c r="A1" t="s">
        <v>34</v>
      </c>
      <c r="B1">
        <v>1</v>
      </c>
      <c r="E1">
        <v>5</v>
      </c>
      <c r="H1">
        <v>10</v>
      </c>
      <c r="K1">
        <v>20</v>
      </c>
      <c r="N1">
        <v>40</v>
      </c>
      <c r="Q1">
        <v>90</v>
      </c>
    </row>
    <row r="2" spans="1:19" x14ac:dyDescent="0.2">
      <c r="B2" s="12" t="s">
        <v>36</v>
      </c>
      <c r="C2" s="12" t="s">
        <v>37</v>
      </c>
      <c r="D2" s="12" t="s">
        <v>38</v>
      </c>
      <c r="E2" s="12" t="s">
        <v>36</v>
      </c>
      <c r="F2" s="12" t="s">
        <v>37</v>
      </c>
      <c r="G2" s="12" t="s">
        <v>38</v>
      </c>
      <c r="H2" s="12" t="s">
        <v>36</v>
      </c>
      <c r="I2" s="12" t="s">
        <v>37</v>
      </c>
      <c r="J2" s="12" t="s">
        <v>38</v>
      </c>
      <c r="K2" s="12" t="s">
        <v>36</v>
      </c>
      <c r="L2" s="12" t="s">
        <v>37</v>
      </c>
      <c r="M2" s="12" t="s">
        <v>38</v>
      </c>
      <c r="N2" s="12" t="s">
        <v>36</v>
      </c>
      <c r="O2" s="12" t="s">
        <v>37</v>
      </c>
      <c r="P2" s="12" t="s">
        <v>38</v>
      </c>
      <c r="Q2" s="12" t="s">
        <v>36</v>
      </c>
      <c r="R2" s="12" t="s">
        <v>37</v>
      </c>
      <c r="S2" s="12" t="s">
        <v>38</v>
      </c>
    </row>
    <row r="3" spans="1:19" x14ac:dyDescent="0.2">
      <c r="A3" t="s">
        <v>19</v>
      </c>
      <c r="B3" s="13">
        <v>2.3777690494981896E-2</v>
      </c>
      <c r="C3" s="13">
        <v>2.29551196543714E-2</v>
      </c>
      <c r="D3" s="13">
        <v>8.2257084061052065E-4</v>
      </c>
      <c r="E3" s="13">
        <v>2.3828914888907302E-2</v>
      </c>
      <c r="F3" s="13">
        <v>2.3009800913404401E-2</v>
      </c>
      <c r="G3" s="13">
        <v>8.1911397550281731E-4</v>
      </c>
      <c r="H3" s="13">
        <v>2.3801701020303399E-2</v>
      </c>
      <c r="I3" s="13">
        <v>2.2984369556618402E-2</v>
      </c>
      <c r="J3" s="13">
        <v>8.1733146368506953E-4</v>
      </c>
      <c r="K3" s="13">
        <v>2.4004942046583402E-2</v>
      </c>
      <c r="L3" s="13">
        <v>2.3146875973675499E-2</v>
      </c>
      <c r="M3" s="13">
        <v>8.5806607290788816E-4</v>
      </c>
      <c r="N3" s="13">
        <v>2.3063300445907903E-2</v>
      </c>
      <c r="O3" s="13">
        <v>2.2122675228938304E-2</v>
      </c>
      <c r="P3" s="13">
        <v>9.4062521696961735E-4</v>
      </c>
      <c r="Q3" s="13">
        <v>2.01427867510117E-2</v>
      </c>
      <c r="R3" s="13">
        <v>1.93046873712838E-2</v>
      </c>
      <c r="S3" s="13">
        <v>8.3809937972792112E-4</v>
      </c>
    </row>
    <row r="4" spans="1:19" x14ac:dyDescent="0.2">
      <c r="A4" t="s">
        <v>1</v>
      </c>
      <c r="B4" s="13">
        <v>2.2691132068976397E-2</v>
      </c>
      <c r="C4" s="13">
        <v>2.12692490203799E-2</v>
      </c>
      <c r="D4" s="13">
        <v>1.4218830485965125E-3</v>
      </c>
      <c r="E4" s="13">
        <v>2.2778598699548201E-2</v>
      </c>
      <c r="F4" s="13">
        <v>2.1330326545338001E-2</v>
      </c>
      <c r="G4" s="13">
        <v>1.4482721542102091E-3</v>
      </c>
      <c r="H4" s="13">
        <v>2.2837268033670699E-2</v>
      </c>
      <c r="I4" s="13">
        <v>2.1370539803762401E-2</v>
      </c>
      <c r="J4" s="13">
        <v>1.4667282299082652E-3</v>
      </c>
      <c r="K4" s="13">
        <v>2.1079076571451499E-2</v>
      </c>
      <c r="L4" s="13">
        <v>1.9738776651770498E-2</v>
      </c>
      <c r="M4" s="13">
        <v>1.3402999196809996E-3</v>
      </c>
      <c r="N4" s="13">
        <v>1.8966368718234702E-2</v>
      </c>
      <c r="O4" s="13">
        <v>1.7695404292303901E-2</v>
      </c>
      <c r="P4" s="13">
        <v>1.2709644259308371E-3</v>
      </c>
      <c r="Q4" s="13">
        <v>1.7640938214229501E-2</v>
      </c>
      <c r="R4" s="13">
        <v>1.65822402205409E-2</v>
      </c>
      <c r="S4" s="13">
        <v>1.0586979936885235E-3</v>
      </c>
    </row>
    <row r="5" spans="1:19" x14ac:dyDescent="0.2">
      <c r="A5" t="s">
        <v>35</v>
      </c>
      <c r="B5" s="13">
        <v>1.60494705205966E-2</v>
      </c>
      <c r="C5" s="13">
        <v>1.5407872137499E-2</v>
      </c>
      <c r="D5" s="13">
        <v>6.4159838309757672E-4</v>
      </c>
      <c r="E5" s="13">
        <v>1.3441060978481101E-2</v>
      </c>
      <c r="F5" s="13">
        <v>1.2831212622570601E-2</v>
      </c>
      <c r="G5" s="13">
        <v>6.0984835591044388E-4</v>
      </c>
      <c r="H5" s="13">
        <v>1.09279275487812E-2</v>
      </c>
      <c r="I5" s="13">
        <v>1.0446574811323599E-2</v>
      </c>
      <c r="J5" s="13">
        <v>4.8135273745753682E-4</v>
      </c>
      <c r="K5" s="13">
        <v>2.5342966838680495E-3</v>
      </c>
      <c r="L5" s="13">
        <v>2.2675368072271199E-3</v>
      </c>
      <c r="M5" s="13">
        <v>2.6675987664092292E-4</v>
      </c>
      <c r="N5" s="13">
        <v>1.0720150038108899E-3</v>
      </c>
      <c r="O5" s="13">
        <v>9.4031685009970999E-4</v>
      </c>
      <c r="P5" s="13">
        <v>1.3169815371117982E-4</v>
      </c>
      <c r="Q5" s="13">
        <v>-2.9798649364755899E-2</v>
      </c>
      <c r="R5" s="13">
        <v>-3.0179935387780001E-2</v>
      </c>
      <c r="S5" s="13">
        <v>3.8128602302409055E-4</v>
      </c>
    </row>
    <row r="6" spans="1:19" x14ac:dyDescent="0.2">
      <c r="A6" t="s">
        <v>40</v>
      </c>
      <c r="B6" s="13">
        <v>1.37701972482862E-2</v>
      </c>
      <c r="C6" s="13">
        <v>1.36328168987586E-2</v>
      </c>
      <c r="D6" s="13">
        <v>1.3600975474989426E-4</v>
      </c>
      <c r="E6" s="13">
        <v>1.3488226944517401E-2</v>
      </c>
      <c r="F6" s="13">
        <v>1.3349766868000599E-2</v>
      </c>
      <c r="G6" s="13">
        <v>1.3703874865303491E-4</v>
      </c>
      <c r="H6" s="13">
        <v>1.34828295682728E-2</v>
      </c>
      <c r="I6" s="13">
        <v>1.3358939689854301E-2</v>
      </c>
      <c r="J6" s="13">
        <v>1.2275148963313272E-4</v>
      </c>
      <c r="K6" s="13">
        <v>1.30192302941773E-2</v>
      </c>
      <c r="L6" s="13">
        <v>1.29482871232583E-2</v>
      </c>
      <c r="M6" s="13">
        <v>7.0556594033469435E-5</v>
      </c>
      <c r="N6" s="13">
        <v>-1.14023707851883E-2</v>
      </c>
      <c r="O6" s="13">
        <v>-1.1322616445263001E-2</v>
      </c>
      <c r="P6" s="13">
        <v>-7.9196494994900231E-5</v>
      </c>
      <c r="Q6" s="13">
        <v>-1.31570348227396E-2</v>
      </c>
      <c r="R6" s="13">
        <v>-1.31264739090336E-2</v>
      </c>
      <c r="S6" s="13">
        <v>-3.0489927388865895E-5</v>
      </c>
    </row>
    <row r="7" spans="1:19" x14ac:dyDescent="0.2">
      <c r="A7" t="s">
        <v>2</v>
      </c>
      <c r="B7" s="13">
        <v>1.1648024653615401E-2</v>
      </c>
      <c r="C7" s="13">
        <v>1.11807836149339E-2</v>
      </c>
      <c r="D7" s="13">
        <v>4.6724103868151358E-4</v>
      </c>
      <c r="E7" s="13">
        <v>1.14133932355299E-2</v>
      </c>
      <c r="F7" s="13">
        <v>1.0968388202058602E-2</v>
      </c>
      <c r="G7" s="13">
        <v>4.4500503347135253E-4</v>
      </c>
      <c r="H7" s="13">
        <v>1.1043722041064701E-2</v>
      </c>
      <c r="I7" s="13">
        <v>1.06190873911926E-2</v>
      </c>
      <c r="J7" s="13">
        <v>4.246346498721464E-4</v>
      </c>
      <c r="K7" s="13">
        <v>8.9582249234933797E-3</v>
      </c>
      <c r="L7" s="13">
        <v>8.6392749145448693E-3</v>
      </c>
      <c r="M7" s="13">
        <v>3.189500089485121E-4</v>
      </c>
      <c r="N7" s="13">
        <v>-7.9958758766205798E-2</v>
      </c>
      <c r="O7" s="13">
        <v>-7.8647103914094199E-2</v>
      </c>
      <c r="P7" s="13">
        <v>-1.3116548521116106E-3</v>
      </c>
      <c r="Q7" s="13">
        <v>-7.9204073389645704E-2</v>
      </c>
      <c r="R7" s="13">
        <v>-7.8033377026919495E-2</v>
      </c>
      <c r="S7" s="13">
        <v>-1.1706963627261878E-3</v>
      </c>
    </row>
    <row r="8" spans="1:19" x14ac:dyDescent="0.2">
      <c r="A8" t="s">
        <v>3</v>
      </c>
      <c r="B8" s="13">
        <v>5.4763157878435394E-3</v>
      </c>
      <c r="C8" s="13">
        <v>5.9187624462089094E-3</v>
      </c>
      <c r="D8" s="13">
        <v>-4.4244665836537121E-4</v>
      </c>
      <c r="E8" s="13">
        <v>4.8156961501199099E-3</v>
      </c>
      <c r="F8" s="13">
        <v>5.2311723679887403E-3</v>
      </c>
      <c r="G8" s="13">
        <v>-4.1547621786883573E-4</v>
      </c>
      <c r="H8" s="13">
        <v>4.8903637676298399E-3</v>
      </c>
      <c r="I8" s="13">
        <v>5.1952121509749906E-3</v>
      </c>
      <c r="J8" s="13">
        <v>-3.0484838334515361E-4</v>
      </c>
      <c r="K8" s="13">
        <v>-1.27625488515937E-2</v>
      </c>
      <c r="L8" s="13">
        <v>-1.30669631896594E-2</v>
      </c>
      <c r="M8" s="13">
        <v>3.0441433806565872E-4</v>
      </c>
      <c r="N8" s="13">
        <v>-8.6788619208643697E-2</v>
      </c>
      <c r="O8" s="13">
        <v>-8.7183432563495589E-2</v>
      </c>
      <c r="P8" s="13">
        <v>3.9481335485195434E-4</v>
      </c>
      <c r="Q8" s="13">
        <v>-8.2549350383316802E-2</v>
      </c>
      <c r="R8" s="13">
        <v>-8.2846133445708001E-2</v>
      </c>
      <c r="S8" s="13">
        <v>2.9678306239112781E-4</v>
      </c>
    </row>
    <row r="9" spans="1:19" x14ac:dyDescent="0.2">
      <c r="D9" t="s">
        <v>39</v>
      </c>
    </row>
    <row r="14" spans="1:19" x14ac:dyDescent="0.2">
      <c r="B14" s="2" t="s">
        <v>7</v>
      </c>
      <c r="P14" s="2" t="s">
        <v>11</v>
      </c>
    </row>
    <row r="16" spans="1:19" x14ac:dyDescent="0.2">
      <c r="B16" s="1" t="s">
        <v>19</v>
      </c>
      <c r="H16" s="1" t="s">
        <v>0</v>
      </c>
    </row>
    <row r="30" spans="2:8" x14ac:dyDescent="0.2">
      <c r="B30" s="1" t="s">
        <v>3</v>
      </c>
      <c r="H30" s="1" t="s">
        <v>1</v>
      </c>
    </row>
    <row r="44" spans="2:8" x14ac:dyDescent="0.2">
      <c r="B44" s="1" t="s">
        <v>2</v>
      </c>
      <c r="H44" s="1" t="s">
        <v>40</v>
      </c>
    </row>
    <row r="58" spans="8:16" x14ac:dyDescent="0.2">
      <c r="H58" t="s">
        <v>72</v>
      </c>
      <c r="L58" t="s">
        <v>73</v>
      </c>
      <c r="P58" t="s">
        <v>75</v>
      </c>
    </row>
    <row r="59" spans="8:16" x14ac:dyDescent="0.2">
      <c r="L59" t="s">
        <v>74</v>
      </c>
    </row>
    <row r="74" spans="3:20" x14ac:dyDescent="0.2">
      <c r="C74">
        <v>2.3777690494981898</v>
      </c>
      <c r="D74">
        <v>2.2955119654371399</v>
      </c>
      <c r="E74">
        <v>3.4594227760854999</v>
      </c>
      <c r="F74">
        <v>2.38289148889073</v>
      </c>
      <c r="G74">
        <v>2.3009800913404401</v>
      </c>
      <c r="H74">
        <v>3.4374791270253202</v>
      </c>
      <c r="I74">
        <v>2.3801701020303399</v>
      </c>
      <c r="J74">
        <v>2.29843695566184</v>
      </c>
      <c r="K74">
        <v>3.4339203865634098</v>
      </c>
      <c r="L74">
        <v>2.4004942046583402</v>
      </c>
      <c r="M74">
        <v>2.3146875973675498</v>
      </c>
      <c r="N74">
        <v>3.5745392396396798</v>
      </c>
      <c r="O74">
        <v>2.3063300445907902</v>
      </c>
      <c r="P74">
        <v>2.2122675228938302</v>
      </c>
      <c r="Q74">
        <v>4.0784501731473197</v>
      </c>
      <c r="R74">
        <v>2.0142786751011701</v>
      </c>
      <c r="S74">
        <v>1.93046873712838</v>
      </c>
      <c r="T74">
        <v>4.1607916029087999</v>
      </c>
    </row>
    <row r="75" spans="3:20" x14ac:dyDescent="0.2">
      <c r="C75">
        <v>1.60494705205966</v>
      </c>
      <c r="D75">
        <v>1.5407872137498999</v>
      </c>
      <c r="E75">
        <v>3.99762959328908</v>
      </c>
      <c r="F75">
        <v>1.3441060978481101</v>
      </c>
      <c r="G75">
        <v>1.28312126225706</v>
      </c>
      <c r="H75">
        <v>4.5372039966696098</v>
      </c>
      <c r="I75">
        <v>1.09279275487812</v>
      </c>
      <c r="J75">
        <v>1.0446574811323599</v>
      </c>
      <c r="K75">
        <v>4.4047943702849901</v>
      </c>
      <c r="L75">
        <v>0.25342966838680497</v>
      </c>
      <c r="M75">
        <v>0.22675368072271199</v>
      </c>
      <c r="N75">
        <v>10.5259924119765</v>
      </c>
      <c r="O75">
        <v>0.107201500381089</v>
      </c>
      <c r="P75">
        <v>9.4031685009971E-2</v>
      </c>
      <c r="Q75">
        <v>12.285103589316201</v>
      </c>
      <c r="R75">
        <v>-2.97986493647559</v>
      </c>
      <c r="S75">
        <v>-3.0179935387780001</v>
      </c>
      <c r="T75">
        <v>-1.2795412918112099</v>
      </c>
    </row>
    <row r="76" spans="3:20" x14ac:dyDescent="0.2">
      <c r="C76">
        <v>2.2691132068976398</v>
      </c>
      <c r="D76">
        <v>2.1269249020379899</v>
      </c>
      <c r="E76">
        <v>6.2662499353239802</v>
      </c>
      <c r="F76">
        <v>2.27785986995482</v>
      </c>
      <c r="G76">
        <v>2.1330326545338001</v>
      </c>
      <c r="H76">
        <v>6.3580388473981699</v>
      </c>
      <c r="I76">
        <v>2.2837268033670699</v>
      </c>
      <c r="J76">
        <v>2.1370539803762401</v>
      </c>
      <c r="K76">
        <v>6.4225205385589801</v>
      </c>
      <c r="L76">
        <v>2.1079076571451498</v>
      </c>
      <c r="M76">
        <v>1.97387766517705</v>
      </c>
      <c r="N76">
        <v>6.3584375489021099</v>
      </c>
      <c r="O76">
        <v>1.8966368718234701</v>
      </c>
      <c r="P76">
        <v>1.76954042923039</v>
      </c>
      <c r="Q76">
        <v>6.70114793618297</v>
      </c>
      <c r="R76">
        <v>1.76409382142295</v>
      </c>
      <c r="S76">
        <v>1.65822402205409</v>
      </c>
      <c r="T76">
        <v>6.0013701132661899</v>
      </c>
    </row>
    <row r="77" spans="3:20" x14ac:dyDescent="0.2">
      <c r="C77">
        <v>1.1648024653615401</v>
      </c>
      <c r="D77">
        <v>1.11807836149339</v>
      </c>
      <c r="E77">
        <v>4.0113328446337704</v>
      </c>
      <c r="F77">
        <v>1.1413393235529901</v>
      </c>
      <c r="G77">
        <v>1.0968388202058601</v>
      </c>
      <c r="H77">
        <v>3.8989722362851</v>
      </c>
      <c r="I77">
        <v>1.1043722041064701</v>
      </c>
      <c r="J77">
        <v>1.0619087391192601</v>
      </c>
      <c r="K77">
        <v>3.84503203080624</v>
      </c>
      <c r="L77">
        <v>0.89582249234933797</v>
      </c>
      <c r="M77">
        <v>0.863927491454487</v>
      </c>
      <c r="N77">
        <v>3.5604152795053201</v>
      </c>
      <c r="O77">
        <v>-7.9958758766205804</v>
      </c>
      <c r="P77">
        <v>-7.8647103914094201</v>
      </c>
      <c r="Q77">
        <v>1.6404142239711399</v>
      </c>
      <c r="R77">
        <v>-7.9204073389645702</v>
      </c>
      <c r="S77">
        <v>-7.8033377026919499</v>
      </c>
      <c r="T77">
        <v>1.47807595319868</v>
      </c>
    </row>
    <row r="78" spans="3:20" x14ac:dyDescent="0.2">
      <c r="C78">
        <v>0.54763157878435398</v>
      </c>
      <c r="D78">
        <v>0.59187624462089095</v>
      </c>
      <c r="E78">
        <v>-8.0792758399273694</v>
      </c>
      <c r="F78">
        <v>0.48156961501199103</v>
      </c>
      <c r="G78">
        <v>0.52311723679887401</v>
      </c>
      <c r="H78">
        <v>-8.6275422060939295</v>
      </c>
      <c r="I78">
        <v>0.489036376762984</v>
      </c>
      <c r="J78">
        <v>0.51952121509749905</v>
      </c>
      <c r="K78">
        <v>-6.2336545465799</v>
      </c>
      <c r="L78">
        <v>-1.27625488515937</v>
      </c>
      <c r="M78">
        <v>-1.30669631896594</v>
      </c>
      <c r="N78">
        <v>-2.3852158499487</v>
      </c>
      <c r="O78">
        <v>-8.6788619208643691</v>
      </c>
      <c r="P78">
        <v>-8.7183432563495593</v>
      </c>
      <c r="Q78">
        <v>-0.45491374151581498</v>
      </c>
      <c r="R78">
        <v>-8.2549350383316806</v>
      </c>
      <c r="S78">
        <v>-8.2846133445708006</v>
      </c>
      <c r="T78">
        <v>-0.35952198413799702</v>
      </c>
    </row>
    <row r="81" spans="3:20" x14ac:dyDescent="0.2">
      <c r="C81" s="13">
        <f>C74/100</f>
        <v>2.3777690494981896E-2</v>
      </c>
      <c r="D81" s="13">
        <f t="shared" ref="D81:T81" si="0">D74/100</f>
        <v>2.29551196543714E-2</v>
      </c>
      <c r="E81" s="13">
        <f t="shared" si="0"/>
        <v>3.4594227760854995E-2</v>
      </c>
      <c r="F81" s="13">
        <f t="shared" si="0"/>
        <v>2.3828914888907302E-2</v>
      </c>
      <c r="G81" s="13">
        <f t="shared" si="0"/>
        <v>2.3009800913404401E-2</v>
      </c>
      <c r="H81" s="13">
        <f t="shared" si="0"/>
        <v>3.4374791270253204E-2</v>
      </c>
      <c r="I81" s="13">
        <f t="shared" si="0"/>
        <v>2.3801701020303399E-2</v>
      </c>
      <c r="J81" s="13">
        <f t="shared" si="0"/>
        <v>2.2984369556618402E-2</v>
      </c>
      <c r="K81" s="13">
        <f t="shared" si="0"/>
        <v>3.4339203865634098E-2</v>
      </c>
      <c r="L81" s="13">
        <f t="shared" si="0"/>
        <v>2.4004942046583402E-2</v>
      </c>
      <c r="M81" s="13">
        <f t="shared" si="0"/>
        <v>2.3146875973675499E-2</v>
      </c>
      <c r="N81" s="13">
        <f t="shared" si="0"/>
        <v>3.5745392396396798E-2</v>
      </c>
      <c r="O81" s="13">
        <f t="shared" si="0"/>
        <v>2.3063300445907903E-2</v>
      </c>
      <c r="P81" s="13">
        <f t="shared" si="0"/>
        <v>2.2122675228938304E-2</v>
      </c>
      <c r="Q81" s="13">
        <f t="shared" si="0"/>
        <v>4.0784501731473195E-2</v>
      </c>
      <c r="R81" s="13">
        <f t="shared" si="0"/>
        <v>2.01427867510117E-2</v>
      </c>
      <c r="S81" s="13">
        <f t="shared" si="0"/>
        <v>1.93046873712838E-2</v>
      </c>
      <c r="T81" s="13">
        <f t="shared" si="0"/>
        <v>4.1607916029087998E-2</v>
      </c>
    </row>
    <row r="82" spans="3:20" x14ac:dyDescent="0.2">
      <c r="C82" s="13">
        <f t="shared" ref="C82:T82" si="1">C75/100</f>
        <v>1.60494705205966E-2</v>
      </c>
      <c r="D82" s="13">
        <f t="shared" si="1"/>
        <v>1.5407872137499E-2</v>
      </c>
      <c r="E82" s="13">
        <f t="shared" si="1"/>
        <v>3.9976295932890801E-2</v>
      </c>
      <c r="F82" s="13">
        <f t="shared" si="1"/>
        <v>1.3441060978481101E-2</v>
      </c>
      <c r="G82" s="13">
        <f t="shared" si="1"/>
        <v>1.2831212622570601E-2</v>
      </c>
      <c r="H82" s="13">
        <f t="shared" si="1"/>
        <v>4.5372039966696101E-2</v>
      </c>
      <c r="I82" s="13">
        <f t="shared" si="1"/>
        <v>1.09279275487812E-2</v>
      </c>
      <c r="J82" s="13">
        <f t="shared" si="1"/>
        <v>1.0446574811323599E-2</v>
      </c>
      <c r="K82" s="13">
        <f t="shared" si="1"/>
        <v>4.4047943702849902E-2</v>
      </c>
      <c r="L82" s="13">
        <f t="shared" si="1"/>
        <v>2.5342966838680495E-3</v>
      </c>
      <c r="M82" s="13">
        <f t="shared" si="1"/>
        <v>2.2675368072271199E-3</v>
      </c>
      <c r="N82" s="13">
        <f t="shared" si="1"/>
        <v>0.10525992411976499</v>
      </c>
      <c r="O82" s="13">
        <f t="shared" si="1"/>
        <v>1.0720150038108899E-3</v>
      </c>
      <c r="P82" s="13">
        <f t="shared" si="1"/>
        <v>9.4031685009970999E-4</v>
      </c>
      <c r="Q82" s="13">
        <f t="shared" si="1"/>
        <v>0.122851035893162</v>
      </c>
      <c r="R82" s="13">
        <f t="shared" si="1"/>
        <v>-2.9798649364755899E-2</v>
      </c>
      <c r="S82" s="13">
        <f t="shared" si="1"/>
        <v>-3.0179935387780001E-2</v>
      </c>
      <c r="T82" s="13">
        <f t="shared" si="1"/>
        <v>-1.2795412918112099E-2</v>
      </c>
    </row>
    <row r="83" spans="3:20" x14ac:dyDescent="0.2">
      <c r="C83" s="13">
        <f t="shared" ref="C83:T83" si="2">C76/100</f>
        <v>2.2691132068976397E-2</v>
      </c>
      <c r="D83" s="13">
        <f t="shared" si="2"/>
        <v>2.12692490203799E-2</v>
      </c>
      <c r="E83" s="13">
        <f t="shared" si="2"/>
        <v>6.2662499353239809E-2</v>
      </c>
      <c r="F83" s="13">
        <f t="shared" si="2"/>
        <v>2.2778598699548201E-2</v>
      </c>
      <c r="G83" s="13">
        <f t="shared" si="2"/>
        <v>2.1330326545338001E-2</v>
      </c>
      <c r="H83" s="13">
        <f t="shared" si="2"/>
        <v>6.3580388473981703E-2</v>
      </c>
      <c r="I83" s="13">
        <f t="shared" si="2"/>
        <v>2.2837268033670699E-2</v>
      </c>
      <c r="J83" s="13">
        <f t="shared" si="2"/>
        <v>2.1370539803762401E-2</v>
      </c>
      <c r="K83" s="13">
        <f t="shared" si="2"/>
        <v>6.4225205385589804E-2</v>
      </c>
      <c r="L83" s="13">
        <f t="shared" si="2"/>
        <v>2.1079076571451499E-2</v>
      </c>
      <c r="M83" s="13">
        <f t="shared" si="2"/>
        <v>1.9738776651770498E-2</v>
      </c>
      <c r="N83" s="13">
        <f t="shared" si="2"/>
        <v>6.35843754890211E-2</v>
      </c>
      <c r="O83" s="13">
        <f t="shared" si="2"/>
        <v>1.8966368718234702E-2</v>
      </c>
      <c r="P83" s="13">
        <f t="shared" si="2"/>
        <v>1.7695404292303901E-2</v>
      </c>
      <c r="Q83" s="13">
        <f t="shared" si="2"/>
        <v>6.7011479361829704E-2</v>
      </c>
      <c r="R83" s="13">
        <f t="shared" si="2"/>
        <v>1.7640938214229501E-2</v>
      </c>
      <c r="S83" s="13">
        <f t="shared" si="2"/>
        <v>1.65822402205409E-2</v>
      </c>
      <c r="T83" s="13">
        <f t="shared" si="2"/>
        <v>6.0013701132661898E-2</v>
      </c>
    </row>
    <row r="84" spans="3:20" x14ac:dyDescent="0.2">
      <c r="C84" s="13">
        <f t="shared" ref="C84:T84" si="3">C77/100</f>
        <v>1.1648024653615401E-2</v>
      </c>
      <c r="D84" s="13">
        <f t="shared" si="3"/>
        <v>1.11807836149339E-2</v>
      </c>
      <c r="E84" s="13">
        <f t="shared" si="3"/>
        <v>4.0113328446337707E-2</v>
      </c>
      <c r="F84" s="13">
        <f t="shared" si="3"/>
        <v>1.14133932355299E-2</v>
      </c>
      <c r="G84" s="13">
        <f t="shared" si="3"/>
        <v>1.0968388202058602E-2</v>
      </c>
      <c r="H84" s="13">
        <f t="shared" si="3"/>
        <v>3.8989722362851004E-2</v>
      </c>
      <c r="I84" s="13">
        <f t="shared" si="3"/>
        <v>1.1043722041064701E-2</v>
      </c>
      <c r="J84" s="13">
        <f t="shared" si="3"/>
        <v>1.06190873911926E-2</v>
      </c>
      <c r="K84" s="13">
        <f t="shared" si="3"/>
        <v>3.8450320308062398E-2</v>
      </c>
      <c r="L84" s="13">
        <f t="shared" si="3"/>
        <v>8.9582249234933797E-3</v>
      </c>
      <c r="M84" s="13">
        <f t="shared" si="3"/>
        <v>8.6392749145448693E-3</v>
      </c>
      <c r="N84" s="13">
        <f t="shared" si="3"/>
        <v>3.5604152795053204E-2</v>
      </c>
      <c r="O84" s="13">
        <f t="shared" si="3"/>
        <v>-7.9958758766205798E-2</v>
      </c>
      <c r="P84" s="13">
        <f t="shared" si="3"/>
        <v>-7.8647103914094199E-2</v>
      </c>
      <c r="Q84" s="13">
        <f t="shared" si="3"/>
        <v>1.64041422397114E-2</v>
      </c>
      <c r="R84" s="13">
        <f t="shared" si="3"/>
        <v>-7.9204073389645704E-2</v>
      </c>
      <c r="S84" s="13">
        <f t="shared" si="3"/>
        <v>-7.8033377026919495E-2</v>
      </c>
      <c r="T84" s="13">
        <f t="shared" si="3"/>
        <v>1.4780759531986799E-2</v>
      </c>
    </row>
    <row r="85" spans="3:20" x14ac:dyDescent="0.2">
      <c r="C85" s="13">
        <f t="shared" ref="C85:T85" si="4">C78/100</f>
        <v>5.4763157878435394E-3</v>
      </c>
      <c r="D85" s="13">
        <f t="shared" si="4"/>
        <v>5.9187624462089094E-3</v>
      </c>
      <c r="E85" s="13">
        <f t="shared" si="4"/>
        <v>-8.079275839927369E-2</v>
      </c>
      <c r="F85" s="13">
        <f t="shared" si="4"/>
        <v>4.8156961501199099E-3</v>
      </c>
      <c r="G85" s="13">
        <f t="shared" si="4"/>
        <v>5.2311723679887403E-3</v>
      </c>
      <c r="H85" s="13">
        <f t="shared" si="4"/>
        <v>-8.62754220609393E-2</v>
      </c>
      <c r="I85" s="13">
        <f t="shared" si="4"/>
        <v>4.8903637676298399E-3</v>
      </c>
      <c r="J85" s="13">
        <f t="shared" si="4"/>
        <v>5.1952121509749906E-3</v>
      </c>
      <c r="K85" s="13">
        <f t="shared" si="4"/>
        <v>-6.2336545465799004E-2</v>
      </c>
      <c r="L85" s="13">
        <f t="shared" si="4"/>
        <v>-1.27625488515937E-2</v>
      </c>
      <c r="M85" s="13">
        <f t="shared" si="4"/>
        <v>-1.30669631896594E-2</v>
      </c>
      <c r="N85" s="13">
        <f t="shared" si="4"/>
        <v>-2.3852158499486999E-2</v>
      </c>
      <c r="O85" s="13">
        <f t="shared" si="4"/>
        <v>-8.6788619208643697E-2</v>
      </c>
      <c r="P85" s="13">
        <f t="shared" si="4"/>
        <v>-8.7183432563495589E-2</v>
      </c>
      <c r="Q85" s="13">
        <f t="shared" si="4"/>
        <v>-4.54913741515815E-3</v>
      </c>
      <c r="R85" s="13">
        <f t="shared" si="4"/>
        <v>-8.2549350383316802E-2</v>
      </c>
      <c r="S85" s="13">
        <f t="shared" si="4"/>
        <v>-8.2846133445708001E-2</v>
      </c>
      <c r="T85" s="13">
        <f t="shared" si="4"/>
        <v>-3.5952198413799702E-3</v>
      </c>
    </row>
    <row r="86" spans="3:20" x14ac:dyDescent="0.2">
      <c r="C86" s="13">
        <v>1.36328168987586E-2</v>
      </c>
      <c r="D86" s="13">
        <v>1.37701972482862E-2</v>
      </c>
      <c r="E86" s="13">
        <v>9.9766435476940397E-3</v>
      </c>
      <c r="F86" s="13">
        <v>1.3349766868000599E-2</v>
      </c>
      <c r="G86" s="13">
        <v>1.3488226944517401E-2</v>
      </c>
      <c r="H86" s="13">
        <v>1.02652540683326E-2</v>
      </c>
      <c r="I86" s="13">
        <v>1.3358939689854301E-2</v>
      </c>
      <c r="J86" s="13">
        <v>1.34828295682728E-2</v>
      </c>
      <c r="K86" s="13">
        <v>9.1887150090481096E-3</v>
      </c>
      <c r="L86" s="13">
        <v>1.29482871232583E-2</v>
      </c>
      <c r="M86" s="13">
        <v>1.30192302941773E-2</v>
      </c>
      <c r="N86" s="13">
        <v>5.4491063846377396E-3</v>
      </c>
      <c r="O86" s="13">
        <v>-1.1322616445263001E-2</v>
      </c>
      <c r="P86" s="13">
        <v>-1.14023707851883E-2</v>
      </c>
      <c r="Q86" s="13">
        <v>6.9945401204536397E-3</v>
      </c>
      <c r="R86" s="13">
        <v>-1.31264739090336E-2</v>
      </c>
      <c r="S86" s="13">
        <v>-1.31570348227396E-2</v>
      </c>
      <c r="T86" s="13">
        <v>2.3227812434748999E-3</v>
      </c>
    </row>
    <row r="87" spans="3:20" x14ac:dyDescent="0.2">
      <c r="E87" s="14">
        <f t="shared" ref="E87:E92" si="5">E81*C81</f>
        <v>8.2257084061052065E-4</v>
      </c>
      <c r="H87" s="14">
        <f t="shared" ref="H87:H92" si="6">H81*F81</f>
        <v>8.1911397550281731E-4</v>
      </c>
      <c r="K87" s="14">
        <f t="shared" ref="K87:K92" si="7">K81*I81</f>
        <v>8.1733146368506953E-4</v>
      </c>
      <c r="N87" s="14">
        <f t="shared" ref="N87:N92" si="8">N81*L81</f>
        <v>8.5806607290788816E-4</v>
      </c>
      <c r="Q87" s="14">
        <f t="shared" ref="Q87:Q92" si="9">Q81*O81</f>
        <v>9.4062521696961735E-4</v>
      </c>
      <c r="T87" s="14">
        <f t="shared" ref="T87:T92" si="10">T81*R81</f>
        <v>8.3809937972792112E-4</v>
      </c>
    </row>
    <row r="88" spans="3:20" x14ac:dyDescent="0.2">
      <c r="E88" s="14">
        <f t="shared" si="5"/>
        <v>6.4159838309757672E-4</v>
      </c>
      <c r="H88" s="14">
        <f t="shared" si="6"/>
        <v>6.0984835591044388E-4</v>
      </c>
      <c r="K88" s="14">
        <f t="shared" si="7"/>
        <v>4.8135273745753682E-4</v>
      </c>
      <c r="N88" s="14">
        <f t="shared" si="8"/>
        <v>2.6675987664092292E-4</v>
      </c>
      <c r="Q88" s="14">
        <f t="shared" si="9"/>
        <v>1.3169815371117982E-4</v>
      </c>
      <c r="T88" s="14">
        <f t="shared" si="10"/>
        <v>3.8128602302409055E-4</v>
      </c>
    </row>
    <row r="89" spans="3:20" x14ac:dyDescent="0.2">
      <c r="E89" s="14">
        <f t="shared" si="5"/>
        <v>1.4218830485965125E-3</v>
      </c>
      <c r="H89" s="14">
        <f t="shared" si="6"/>
        <v>1.4482721542102091E-3</v>
      </c>
      <c r="K89" s="14">
        <f t="shared" si="7"/>
        <v>1.4667282299082652E-3</v>
      </c>
      <c r="N89" s="14">
        <f t="shared" si="8"/>
        <v>1.3402999196809996E-3</v>
      </c>
      <c r="Q89" s="14">
        <f t="shared" si="9"/>
        <v>1.2709644259308371E-3</v>
      </c>
      <c r="T89" s="14">
        <f t="shared" si="10"/>
        <v>1.0586979936885235E-3</v>
      </c>
    </row>
    <row r="90" spans="3:20" x14ac:dyDescent="0.2">
      <c r="E90" s="14">
        <f t="shared" si="5"/>
        <v>4.6724103868151358E-4</v>
      </c>
      <c r="H90" s="14">
        <f t="shared" si="6"/>
        <v>4.4500503347135253E-4</v>
      </c>
      <c r="K90" s="14">
        <f t="shared" si="7"/>
        <v>4.246346498721464E-4</v>
      </c>
      <c r="N90" s="14">
        <f t="shared" si="8"/>
        <v>3.189500089485121E-4</v>
      </c>
      <c r="Q90" s="14">
        <f t="shared" si="9"/>
        <v>-1.3116548521116106E-3</v>
      </c>
      <c r="T90" s="14">
        <f t="shared" si="10"/>
        <v>-1.1706963627261878E-3</v>
      </c>
    </row>
    <row r="91" spans="3:20" x14ac:dyDescent="0.2">
      <c r="E91" s="14">
        <f t="shared" si="5"/>
        <v>-4.4244665836537121E-4</v>
      </c>
      <c r="H91" s="14">
        <f t="shared" si="6"/>
        <v>-4.1547621786883573E-4</v>
      </c>
      <c r="K91" s="14">
        <f t="shared" si="7"/>
        <v>-3.0484838334515361E-4</v>
      </c>
      <c r="N91" s="14">
        <f t="shared" si="8"/>
        <v>3.0441433806565872E-4</v>
      </c>
      <c r="Q91" s="14">
        <f t="shared" si="9"/>
        <v>3.9481335485195434E-4</v>
      </c>
      <c r="T91" s="14">
        <f t="shared" si="10"/>
        <v>2.9678306239112781E-4</v>
      </c>
    </row>
    <row r="92" spans="3:20" x14ac:dyDescent="0.2">
      <c r="E92" s="14">
        <f t="shared" si="5"/>
        <v>1.3600975474989426E-4</v>
      </c>
      <c r="H92" s="14">
        <f t="shared" si="6"/>
        <v>1.3703874865303491E-4</v>
      </c>
      <c r="K92" s="14">
        <f t="shared" si="7"/>
        <v>1.2275148963313272E-4</v>
      </c>
      <c r="N92" s="14">
        <f t="shared" si="8"/>
        <v>7.0556594033469435E-5</v>
      </c>
      <c r="Q92" s="14">
        <f t="shared" si="9"/>
        <v>-7.9196494994900231E-5</v>
      </c>
      <c r="T92" s="14">
        <f t="shared" si="10"/>
        <v>-3.0489927388865895E-5</v>
      </c>
    </row>
    <row r="93" spans="3:20" x14ac:dyDescent="0.2">
      <c r="E93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9348-6408-8E43-87E3-36DB50BA0969}">
  <dimension ref="B1:BF58"/>
  <sheetViews>
    <sheetView zoomScale="84" zoomScaleNormal="84" workbookViewId="0">
      <selection activeCell="G34" sqref="G34"/>
    </sheetView>
  </sheetViews>
  <sheetFormatPr baseColWidth="10" defaultColWidth="8.83203125" defaultRowHeight="16" x14ac:dyDescent="0.2"/>
  <cols>
    <col min="2" max="2" width="15" customWidth="1"/>
    <col min="3" max="3" width="17.5" customWidth="1"/>
    <col min="4" max="4" width="27.83203125" bestFit="1" customWidth="1"/>
    <col min="5" max="6" width="17.5" customWidth="1"/>
    <col min="7" max="7" width="19.6640625" customWidth="1"/>
    <col min="8" max="8" width="16.1640625" customWidth="1"/>
    <col min="9" max="9" width="12.5" customWidth="1"/>
    <col min="10" max="10" width="17.6640625" customWidth="1"/>
    <col min="11" max="11" width="17.83203125" customWidth="1"/>
    <col min="13" max="13" width="23" customWidth="1"/>
    <col min="14" max="14" width="18.6640625" customWidth="1"/>
    <col min="15" max="15" width="13.83203125" customWidth="1"/>
    <col min="16" max="16" width="13" customWidth="1"/>
    <col min="20" max="20" width="12.5" bestFit="1" customWidth="1"/>
    <col min="21" max="21" width="18.83203125" bestFit="1" customWidth="1"/>
    <col min="22" max="23" width="12.6640625" bestFit="1" customWidth="1"/>
    <col min="24" max="24" width="13.33203125" bestFit="1" customWidth="1"/>
    <col min="25" max="26" width="14.33203125" bestFit="1" customWidth="1"/>
    <col min="27" max="28" width="16" bestFit="1" customWidth="1"/>
    <col min="29" max="29" width="15.1640625" bestFit="1" customWidth="1"/>
    <col min="30" max="30" width="15.6640625" bestFit="1" customWidth="1"/>
    <col min="31" max="32" width="15.5" bestFit="1" customWidth="1"/>
    <col min="33" max="33" width="14.83203125" customWidth="1"/>
    <col min="34" max="34" width="15" bestFit="1" customWidth="1"/>
    <col min="35" max="35" width="18.6640625" bestFit="1" customWidth="1"/>
    <col min="36" max="38" width="15" bestFit="1" customWidth="1"/>
  </cols>
  <sheetData>
    <row r="1" spans="2:58" ht="27" x14ac:dyDescent="0.35">
      <c r="G1" s="28" t="s">
        <v>79</v>
      </c>
      <c r="H1" s="29"/>
      <c r="I1" s="29"/>
      <c r="J1" s="29"/>
      <c r="K1" s="29"/>
      <c r="L1" s="30"/>
      <c r="M1" s="58" t="s">
        <v>80</v>
      </c>
      <c r="N1" s="43"/>
      <c r="O1" s="43"/>
      <c r="P1" s="43"/>
      <c r="Q1" s="43"/>
      <c r="R1" s="44"/>
      <c r="S1" s="58" t="s">
        <v>81</v>
      </c>
      <c r="T1" s="59"/>
      <c r="U1" s="58" t="s">
        <v>91</v>
      </c>
      <c r="V1" s="27" t="e" vm="1">
        <v>#VALUE!</v>
      </c>
      <c r="W1" s="66" cm="1">
        <f t="array" ref="W1">_FV(V1,"Previous close",TRUE)</f>
        <v>1.2850999999999999</v>
      </c>
      <c r="X1" s="59"/>
      <c r="Y1" s="59"/>
      <c r="Z1" s="59"/>
      <c r="AA1" s="83" t="s">
        <v>76</v>
      </c>
      <c r="AB1" s="43" t="s">
        <v>110</v>
      </c>
      <c r="AC1" s="59" t="s">
        <v>111</v>
      </c>
      <c r="AD1" s="99" t="s">
        <v>112</v>
      </c>
      <c r="AE1" s="59"/>
      <c r="AF1" s="44"/>
      <c r="AG1" s="43" t="s">
        <v>77</v>
      </c>
      <c r="AH1" s="115" t="s">
        <v>135</v>
      </c>
      <c r="AI1" s="43"/>
      <c r="AJ1" s="43"/>
      <c r="AK1" s="43" t="s">
        <v>140</v>
      </c>
      <c r="AL1" s="44"/>
      <c r="AM1" s="19" t="s">
        <v>82</v>
      </c>
    </row>
    <row r="2" spans="2:58" x14ac:dyDescent="0.2">
      <c r="G2" s="57" t="s">
        <v>83</v>
      </c>
      <c r="H2" s="8"/>
      <c r="I2" s="8"/>
      <c r="J2" s="8"/>
      <c r="K2" s="8"/>
      <c r="L2" s="31"/>
      <c r="M2" s="56" t="s">
        <v>84</v>
      </c>
      <c r="N2" s="8"/>
      <c r="O2" s="8"/>
      <c r="P2" s="8"/>
      <c r="Q2" s="8"/>
      <c r="R2" s="31"/>
      <c r="S2" s="32" t="s">
        <v>85</v>
      </c>
      <c r="T2" s="18" t="s">
        <v>92</v>
      </c>
      <c r="U2" s="32" t="s">
        <v>84</v>
      </c>
      <c r="V2" s="18"/>
      <c r="W2" s="18"/>
      <c r="X2" s="18"/>
      <c r="Y2" s="18"/>
      <c r="Z2" s="18"/>
      <c r="AA2" s="84" t="s">
        <v>104</v>
      </c>
      <c r="AB2" s="85">
        <v>7.4999999999999997E-2</v>
      </c>
      <c r="AC2" s="85" t="s">
        <v>106</v>
      </c>
      <c r="AD2" s="85">
        <v>20</v>
      </c>
      <c r="AE2" s="18"/>
      <c r="AF2" s="33"/>
      <c r="AG2" s="87" t="s">
        <v>106</v>
      </c>
      <c r="AH2" s="87">
        <f>AD2</f>
        <v>20</v>
      </c>
      <c r="AI2" s="18"/>
      <c r="AJ2" s="18"/>
      <c r="AK2" s="18"/>
      <c r="AL2" s="33"/>
      <c r="AM2" s="19"/>
      <c r="AN2" s="20"/>
      <c r="AO2" s="20"/>
      <c r="AP2" s="20"/>
      <c r="AQ2" s="20"/>
      <c r="AR2" s="20"/>
      <c r="AS2" s="20"/>
      <c r="AT2" s="20"/>
      <c r="AU2" s="21" t="s">
        <v>86</v>
      </c>
      <c r="AV2" s="22"/>
      <c r="AW2" s="22"/>
      <c r="AX2" s="22"/>
      <c r="AY2" s="22"/>
      <c r="AZ2" s="22"/>
      <c r="BA2" s="23" t="s">
        <v>87</v>
      </c>
      <c r="BB2" s="23"/>
      <c r="BC2" s="23"/>
      <c r="BD2" s="23"/>
      <c r="BE2" s="23"/>
      <c r="BF2" s="23"/>
    </row>
    <row r="3" spans="2:58" x14ac:dyDescent="0.2">
      <c r="B3" s="3"/>
      <c r="C3" s="24" t="s">
        <v>8</v>
      </c>
      <c r="D3" s="25" t="s">
        <v>101</v>
      </c>
      <c r="E3" s="25" t="s">
        <v>88</v>
      </c>
      <c r="F3" s="25" t="s">
        <v>95</v>
      </c>
      <c r="G3" s="32">
        <v>1</v>
      </c>
      <c r="H3" s="18">
        <v>5</v>
      </c>
      <c r="I3" s="18">
        <v>10</v>
      </c>
      <c r="J3" s="18">
        <v>20</v>
      </c>
      <c r="K3" s="18">
        <v>40</v>
      </c>
      <c r="L3" s="33">
        <v>90</v>
      </c>
      <c r="M3" s="32">
        <v>1</v>
      </c>
      <c r="N3" s="18">
        <v>5</v>
      </c>
      <c r="O3" s="18">
        <v>10</v>
      </c>
      <c r="P3" s="18">
        <v>20</v>
      </c>
      <c r="Q3" s="18">
        <v>40</v>
      </c>
      <c r="R3" s="33">
        <v>90</v>
      </c>
      <c r="S3" s="54" t="s">
        <v>94</v>
      </c>
      <c r="T3" s="66" t="s">
        <v>93</v>
      </c>
      <c r="U3" s="60">
        <v>1</v>
      </c>
      <c r="V3" s="61">
        <v>5</v>
      </c>
      <c r="W3" s="61">
        <v>10</v>
      </c>
      <c r="X3" s="61">
        <v>20</v>
      </c>
      <c r="Y3" s="61">
        <v>40</v>
      </c>
      <c r="Z3" s="61">
        <v>90</v>
      </c>
      <c r="AA3" s="60">
        <v>1</v>
      </c>
      <c r="AB3" s="61">
        <v>5</v>
      </c>
      <c r="AC3" s="61">
        <v>10</v>
      </c>
      <c r="AD3" s="61">
        <v>20</v>
      </c>
      <c r="AE3" s="61">
        <v>40</v>
      </c>
      <c r="AF3" s="62">
        <v>90</v>
      </c>
      <c r="AG3" s="61">
        <v>1</v>
      </c>
      <c r="AH3" s="61">
        <v>5</v>
      </c>
      <c r="AI3" s="61">
        <v>10</v>
      </c>
      <c r="AJ3" s="61">
        <v>20</v>
      </c>
      <c r="AK3" s="61">
        <v>40</v>
      </c>
      <c r="AL3" s="62">
        <v>90</v>
      </c>
      <c r="AM3" s="20"/>
      <c r="AN3" s="20"/>
      <c r="AO3" s="20"/>
      <c r="AP3" s="20"/>
      <c r="AQ3" s="20"/>
      <c r="AR3" s="20"/>
      <c r="AS3" s="20"/>
      <c r="AT3" s="20"/>
      <c r="AU3" s="22"/>
      <c r="AV3" s="22"/>
      <c r="AW3" s="22"/>
      <c r="AX3" s="22"/>
      <c r="AY3" s="22"/>
      <c r="AZ3" s="22"/>
      <c r="BA3" s="23" t="s">
        <v>89</v>
      </c>
      <c r="BB3" s="23"/>
      <c r="BC3" s="23"/>
      <c r="BD3" s="23"/>
      <c r="BE3" s="23"/>
      <c r="BF3" s="23"/>
    </row>
    <row r="4" spans="2:58" x14ac:dyDescent="0.2">
      <c r="B4" s="26" t="s">
        <v>19</v>
      </c>
      <c r="C4" s="6" t="s">
        <v>9</v>
      </c>
      <c r="D4" s="6">
        <v>1.6596916146774201</v>
      </c>
      <c r="E4" s="6">
        <f>D4*1000</f>
        <v>1659.6916146774201</v>
      </c>
      <c r="F4" s="72">
        <f>D4/(15*25/1000000*365*24)</f>
        <v>0.50523336824274578</v>
      </c>
      <c r="G4" s="34">
        <v>2.3777690494981896E-2</v>
      </c>
      <c r="H4" s="35">
        <v>2.3828914888907302E-2</v>
      </c>
      <c r="I4" s="35">
        <v>2.3801701020303399E-2</v>
      </c>
      <c r="J4" s="35">
        <v>2.4004942046583402E-2</v>
      </c>
      <c r="K4" s="35">
        <v>2.3063300445907903E-2</v>
      </c>
      <c r="L4" s="36">
        <v>2.01427867510117E-2</v>
      </c>
      <c r="M4" s="45">
        <f>$E4*G4</f>
        <v>39.463633530916447</v>
      </c>
      <c r="N4" s="46">
        <f t="shared" ref="N4:R9" si="0">$E4*H4</f>
        <v>39.548650227981376</v>
      </c>
      <c r="O4" s="46">
        <f t="shared" si="0"/>
        <v>39.503483598456548</v>
      </c>
      <c r="P4" s="46">
        <f t="shared" si="0"/>
        <v>39.840801025531903</v>
      </c>
      <c r="Q4" s="46">
        <f t="shared" si="0"/>
        <v>38.277966356859352</v>
      </c>
      <c r="R4" s="47">
        <f t="shared" si="0"/>
        <v>33.430814266889556</v>
      </c>
      <c r="S4" s="54">
        <f t="shared" ref="S4:S9" si="1">(116+176)/2*1000</f>
        <v>146000</v>
      </c>
      <c r="T4" s="66">
        <f t="shared" ref="T4:T9" si="2">S4*$W$1</f>
        <v>187624.59999999998</v>
      </c>
      <c r="U4" s="64">
        <f>M4*$T4</f>
        <v>7404348.4557847846</v>
      </c>
      <c r="V4" s="68">
        <f t="shared" ref="V4:Z9" si="3">N4*$T4</f>
        <v>7420299.6795649137</v>
      </c>
      <c r="W4" s="68">
        <f t="shared" si="3"/>
        <v>7411825.3087669695</v>
      </c>
      <c r="X4" s="68">
        <f t="shared" si="3"/>
        <v>7475114.3560950123</v>
      </c>
      <c r="Y4" s="68">
        <f t="shared" si="3"/>
        <v>7181888.126519192</v>
      </c>
      <c r="Z4" s="68">
        <f t="shared" si="3"/>
        <v>6272443.1544994451</v>
      </c>
      <c r="AA4" s="64">
        <f>U4*(1-(1/(1+$AB$2))^$AD$2)/(1-(1/(1+$AB$2)))</f>
        <v>81144833.82941477</v>
      </c>
      <c r="AB4" s="68">
        <f t="shared" ref="AB4:AF4" si="4">V4*(1-(1/(1+$AB$2))^$AD$2)/(1-(1/(1+$AB$2)))</f>
        <v>81319644.538384467</v>
      </c>
      <c r="AC4" s="68">
        <f t="shared" si="4"/>
        <v>81226773.246019676</v>
      </c>
      <c r="AD4" s="68">
        <f t="shared" si="4"/>
        <v>81920362.865595683</v>
      </c>
      <c r="AE4" s="68">
        <f t="shared" si="4"/>
        <v>78706873.682119131</v>
      </c>
      <c r="AF4" s="168">
        <f t="shared" si="4"/>
        <v>68740195.10503459</v>
      </c>
      <c r="AG4" s="106">
        <f>U4/AG21</f>
        <v>0.40582890960727785</v>
      </c>
      <c r="AH4" s="106">
        <f t="shared" ref="AH4:AL4" si="5">V4/AH21</f>
        <v>0.40670318879500761</v>
      </c>
      <c r="AI4" s="106">
        <f t="shared" si="5"/>
        <v>0.40623871245639737</v>
      </c>
      <c r="AJ4" s="106">
        <f t="shared" si="5"/>
        <v>0.40970755582872087</v>
      </c>
      <c r="AK4" s="106">
        <f t="shared" si="5"/>
        <v>0.39363596199063811</v>
      </c>
      <c r="AL4" s="107">
        <f t="shared" si="5"/>
        <v>0.34378970427511346</v>
      </c>
      <c r="AM4" s="20"/>
      <c r="AN4" s="20"/>
      <c r="AO4" s="20"/>
      <c r="AP4" s="20"/>
      <c r="AQ4" s="20"/>
      <c r="AR4" s="20"/>
      <c r="AS4" s="20"/>
      <c r="AT4" s="20"/>
      <c r="AU4" s="22"/>
      <c r="AV4" s="22"/>
      <c r="AW4" s="22"/>
      <c r="AX4" s="22"/>
      <c r="AY4" s="22"/>
      <c r="AZ4" s="22"/>
      <c r="BA4" s="23"/>
      <c r="BB4" s="23"/>
      <c r="BC4" s="23"/>
      <c r="BD4" s="23"/>
      <c r="BE4" s="23"/>
      <c r="BF4" s="23"/>
    </row>
    <row r="5" spans="2:58" x14ac:dyDescent="0.2">
      <c r="B5" s="26" t="s">
        <v>1</v>
      </c>
      <c r="C5" s="6" t="s">
        <v>10</v>
      </c>
      <c r="D5" s="6">
        <v>1.90805515968404</v>
      </c>
      <c r="E5" s="6">
        <f t="shared" ref="E5:E9" si="6">D5*1000</f>
        <v>1908.0551596840401</v>
      </c>
      <c r="F5" s="72">
        <f t="shared" ref="F5:F9" si="7">D5/(15*25/1000000*365*24)</f>
        <v>0.58083870918844438</v>
      </c>
      <c r="G5" s="34">
        <v>2.2691132068976397E-2</v>
      </c>
      <c r="H5" s="35">
        <v>2.2778598699548201E-2</v>
      </c>
      <c r="I5" s="35">
        <v>2.2837268033670699E-2</v>
      </c>
      <c r="J5" s="35">
        <v>2.1079076571451499E-2</v>
      </c>
      <c r="K5" s="35">
        <v>1.8966368718234702E-2</v>
      </c>
      <c r="L5" s="36">
        <v>1.7640938214229501E-2</v>
      </c>
      <c r="M5" s="45">
        <f t="shared" ref="M5:M9" si="8">$E5*G5</f>
        <v>43.295931623282399</v>
      </c>
      <c r="N5" s="46">
        <f t="shared" si="0"/>
        <v>43.462822779045112</v>
      </c>
      <c r="O5" s="46">
        <f t="shared" si="0"/>
        <v>43.574767104732771</v>
      </c>
      <c r="P5" s="46">
        <f t="shared" si="0"/>
        <v>40.220040813532997</v>
      </c>
      <c r="Q5" s="46">
        <f t="shared" si="0"/>
        <v>36.188877693297698</v>
      </c>
      <c r="R5" s="47">
        <f t="shared" si="0"/>
        <v>33.659883181327956</v>
      </c>
      <c r="S5" s="54">
        <f t="shared" si="1"/>
        <v>146000</v>
      </c>
      <c r="T5" s="66">
        <f t="shared" si="2"/>
        <v>187624.59999999998</v>
      </c>
      <c r="U5" s="64">
        <f t="shared" ref="U5:U9" si="9">M5*$T5</f>
        <v>8123381.8524457095</v>
      </c>
      <c r="V5" s="68">
        <f t="shared" si="3"/>
        <v>8154694.7387892269</v>
      </c>
      <c r="W5" s="68">
        <f t="shared" si="3"/>
        <v>8175698.2481186436</v>
      </c>
      <c r="X5" s="68">
        <f t="shared" si="3"/>
        <v>7546269.0696228025</v>
      </c>
      <c r="Y5" s="68">
        <f t="shared" si="3"/>
        <v>6789923.7016539024</v>
      </c>
      <c r="Z5" s="68">
        <f t="shared" si="3"/>
        <v>6315422.1179433847</v>
      </c>
      <c r="AA5" s="64">
        <f t="shared" ref="AA5:AA9" si="10">U5*(1-(1/(1+$AB$2))^$AD$2)/(1-(1/(1+$AB$2)))</f>
        <v>89024777.059837252</v>
      </c>
      <c r="AB5" s="68">
        <f t="shared" ref="AB5:AB9" si="11">V5*(1-(1/(1+$AB$2))^$AD$2)/(1-(1/(1+$AB$2)))</f>
        <v>89367937.43029213</v>
      </c>
      <c r="AC5" s="68">
        <f t="shared" ref="AC5:AC9" si="12">W5*(1-(1/(1+$AB$2))^$AD$2)/(1-(1/(1+$AB$2)))</f>
        <v>89598116.53174144</v>
      </c>
      <c r="AD5" s="68">
        <f t="shared" ref="AD5:AD9" si="13">X5*(1-(1/(1+$AB$2))^$AD$2)/(1-(1/(1+$AB$2)))</f>
        <v>82700152.93623738</v>
      </c>
      <c r="AE5" s="68">
        <f t="shared" ref="AE5:AE9" si="14">Y5*(1-(1/(1+$AB$2))^$AD$2)/(1-(1/(1+$AB$2)))</f>
        <v>74411304.894039303</v>
      </c>
      <c r="AF5" s="168">
        <f t="shared" ref="AF5:AF9" si="15">Z5*(1-(1/(1+$AB$2))^$AD$2)/(1-(1/(1+$AB$2)))</f>
        <v>69211204.92685008</v>
      </c>
      <c r="AG5" s="106">
        <f t="shared" ref="AG5:AG9" si="16">U5/AG22</f>
        <v>0.13538969754076183</v>
      </c>
      <c r="AH5" s="106">
        <f t="shared" ref="AH5:AH9" si="17">V5/AH22</f>
        <v>0.13591157897982045</v>
      </c>
      <c r="AI5" s="106">
        <f t="shared" ref="AI5:AI9" si="18">W5/AI22</f>
        <v>0.13626163746864406</v>
      </c>
      <c r="AJ5" s="106">
        <f t="shared" ref="AJ5:AJ9" si="19">X5/AJ22</f>
        <v>0.12577115116038004</v>
      </c>
      <c r="AK5" s="106">
        <f t="shared" ref="AK5:AK9" si="20">Y5/AK22</f>
        <v>0.11316539502756504</v>
      </c>
      <c r="AL5" s="107">
        <f t="shared" ref="AL5:AL9" si="21">Z5/AL22</f>
        <v>0.10525703529905642</v>
      </c>
      <c r="AM5" s="20"/>
      <c r="AN5" s="20"/>
      <c r="AO5" s="20"/>
      <c r="AP5" s="20"/>
      <c r="AQ5" s="20"/>
      <c r="AR5" s="20"/>
      <c r="AS5" s="20"/>
      <c r="AT5" s="20"/>
      <c r="AU5" s="22"/>
      <c r="AV5" s="22"/>
      <c r="AW5" s="22"/>
      <c r="AX5" s="22"/>
      <c r="AY5" s="22"/>
      <c r="AZ5" s="22"/>
      <c r="BA5" s="23"/>
      <c r="BB5" s="23"/>
      <c r="BC5" s="23"/>
      <c r="BD5" s="23"/>
      <c r="BE5" s="23"/>
      <c r="BF5" s="23"/>
    </row>
    <row r="6" spans="2:58" x14ac:dyDescent="0.2">
      <c r="B6" s="26" t="s">
        <v>0</v>
      </c>
      <c r="C6" s="6" t="s">
        <v>14</v>
      </c>
      <c r="D6" s="6">
        <v>2.2514664777486302</v>
      </c>
      <c r="E6" s="6">
        <f t="shared" si="6"/>
        <v>2251.46647774863</v>
      </c>
      <c r="F6" s="72">
        <f t="shared" si="7"/>
        <v>0.68537792321115076</v>
      </c>
      <c r="G6" s="34">
        <v>1.60494705205966E-2</v>
      </c>
      <c r="H6" s="35">
        <v>1.3441060978481101E-2</v>
      </c>
      <c r="I6" s="35">
        <v>1.09279275487812E-2</v>
      </c>
      <c r="J6" s="35">
        <v>2.5342966838680495E-3</v>
      </c>
      <c r="K6" s="35">
        <v>1.0720150038108899E-3</v>
      </c>
      <c r="L6" s="37">
        <v>-2.9798649364755899E-2</v>
      </c>
      <c r="M6" s="45">
        <f t="shared" si="8"/>
        <v>36.134844862738099</v>
      </c>
      <c r="N6" s="46">
        <f t="shared" si="0"/>
        <v>30.2620982184254</v>
      </c>
      <c r="O6" s="46">
        <f t="shared" si="0"/>
        <v>24.60386254734663</v>
      </c>
      <c r="P6" s="46">
        <f t="shared" si="0"/>
        <v>5.7058840283984305</v>
      </c>
      <c r="Q6" s="46">
        <f t="shared" si="0"/>
        <v>2.4136058447237887</v>
      </c>
      <c r="R6" s="48">
        <f t="shared" si="0"/>
        <v>-67.090660126933415</v>
      </c>
      <c r="S6" s="54">
        <f t="shared" si="1"/>
        <v>146000</v>
      </c>
      <c r="T6" s="66">
        <f t="shared" si="2"/>
        <v>187624.59999999998</v>
      </c>
      <c r="U6" s="64">
        <f t="shared" si="9"/>
        <v>6779785.8134332895</v>
      </c>
      <c r="V6" s="68">
        <f t="shared" si="3"/>
        <v>5677914.0733927777</v>
      </c>
      <c r="W6" s="68">
        <f t="shared" si="3"/>
        <v>4616289.8689008923</v>
      </c>
      <c r="X6" s="68">
        <f t="shared" si="3"/>
        <v>1070564.208474644</v>
      </c>
      <c r="Y6" s="68">
        <f t="shared" si="3"/>
        <v>452851.83117396291</v>
      </c>
      <c r="Z6" s="70">
        <f t="shared" si="3"/>
        <v>-12587858.27005183</v>
      </c>
      <c r="AA6" s="64">
        <f t="shared" si="10"/>
        <v>74300202.984133899</v>
      </c>
      <c r="AB6" s="68">
        <f t="shared" si="11"/>
        <v>62224704.406394593</v>
      </c>
      <c r="AC6" s="68">
        <f t="shared" si="12"/>
        <v>50590281.718537971</v>
      </c>
      <c r="AD6" s="68">
        <f t="shared" si="13"/>
        <v>11732396.890711507</v>
      </c>
      <c r="AE6" s="68">
        <f t="shared" si="14"/>
        <v>4962838.6358894901</v>
      </c>
      <c r="AF6" s="168">
        <f t="shared" si="15"/>
        <v>-137951323.29213402</v>
      </c>
      <c r="AG6" s="106">
        <f t="shared" si="16"/>
        <v>0.11299643022388815</v>
      </c>
      <c r="AH6" s="106">
        <f t="shared" si="17"/>
        <v>9.4631901223212966E-2</v>
      </c>
      <c r="AI6" s="106">
        <f t="shared" si="18"/>
        <v>7.6938164481681545E-2</v>
      </c>
      <c r="AJ6" s="106">
        <f t="shared" si="19"/>
        <v>1.7842736807910733E-2</v>
      </c>
      <c r="AK6" s="106">
        <f t="shared" si="20"/>
        <v>7.5475305195660484E-3</v>
      </c>
      <c r="AL6" s="107">
        <f t="shared" si="21"/>
        <v>-0.20979763783419716</v>
      </c>
      <c r="AM6" s="20"/>
      <c r="AN6" s="20"/>
      <c r="AO6" s="20"/>
      <c r="AP6" s="20"/>
      <c r="AQ6" s="20"/>
      <c r="AR6" s="20"/>
      <c r="AS6" s="20"/>
      <c r="AT6" s="20"/>
      <c r="AU6" s="22"/>
      <c r="AV6" s="22"/>
      <c r="AW6" s="22"/>
      <c r="AX6" s="22"/>
      <c r="AY6" s="22"/>
      <c r="AZ6" s="22"/>
      <c r="BA6" s="23"/>
      <c r="BB6" s="23"/>
      <c r="BC6" s="23"/>
      <c r="BD6" s="23"/>
      <c r="BE6" s="23"/>
      <c r="BF6" s="23"/>
    </row>
    <row r="7" spans="2:58" x14ac:dyDescent="0.2">
      <c r="B7" s="26" t="s">
        <v>40</v>
      </c>
      <c r="C7" s="6" t="s">
        <v>90</v>
      </c>
      <c r="D7" s="6">
        <v>1.9059222661658799</v>
      </c>
      <c r="E7" s="6">
        <f t="shared" si="6"/>
        <v>1905.9222661658798</v>
      </c>
      <c r="F7" s="72">
        <f t="shared" si="7"/>
        <v>0.58018942653451444</v>
      </c>
      <c r="G7" s="34">
        <v>1.37701972482862E-2</v>
      </c>
      <c r="H7" s="35">
        <v>1.3488226944517401E-2</v>
      </c>
      <c r="I7" s="35">
        <v>1.34828295682728E-2</v>
      </c>
      <c r="J7" s="35">
        <v>1.30192302941773E-2</v>
      </c>
      <c r="K7" s="38">
        <v>-1.14023707851883E-2</v>
      </c>
      <c r="L7" s="37">
        <v>-1.31570348227396E-2</v>
      </c>
      <c r="M7" s="45">
        <f t="shared" si="8"/>
        <v>26.244925545004797</v>
      </c>
      <c r="N7" s="46">
        <f t="shared" si="0"/>
        <v>25.707512064654285</v>
      </c>
      <c r="O7" s="46">
        <f t="shared" si="0"/>
        <v>25.697225085090828</v>
      </c>
      <c r="P7" s="46">
        <f t="shared" si="0"/>
        <v>24.813640906013873</v>
      </c>
      <c r="Q7" s="49">
        <f t="shared" si="0"/>
        <v>-21.732032366569708</v>
      </c>
      <c r="R7" s="48">
        <f t="shared" si="0"/>
        <v>-25.076285625379253</v>
      </c>
      <c r="S7" s="54">
        <f t="shared" si="1"/>
        <v>146000</v>
      </c>
      <c r="T7" s="66">
        <f t="shared" si="2"/>
        <v>187624.59999999998</v>
      </c>
      <c r="U7" s="64">
        <f t="shared" si="9"/>
        <v>4924193.6574113062</v>
      </c>
      <c r="V7" s="68">
        <f t="shared" si="3"/>
        <v>4823361.668125934</v>
      </c>
      <c r="W7" s="68">
        <f t="shared" si="3"/>
        <v>4821431.5777001316</v>
      </c>
      <c r="X7" s="68">
        <f t="shared" si="3"/>
        <v>4655649.4495344898</v>
      </c>
      <c r="Y7" s="70">
        <f t="shared" si="3"/>
        <v>-4077463.8799646944</v>
      </c>
      <c r="Z7" s="70">
        <f t="shared" si="3"/>
        <v>-4704928.0599475317</v>
      </c>
      <c r="AA7" s="64">
        <f t="shared" si="10"/>
        <v>53964623.418327227</v>
      </c>
      <c r="AB7" s="68">
        <f t="shared" si="11"/>
        <v>52859597.761564881</v>
      </c>
      <c r="AC7" s="68">
        <f t="shared" si="12"/>
        <v>52838445.74963396</v>
      </c>
      <c r="AD7" s="68">
        <f t="shared" si="13"/>
        <v>51021626.441058896</v>
      </c>
      <c r="AE7" s="68">
        <f t="shared" si="14"/>
        <v>-44685245.563596003</v>
      </c>
      <c r="AF7" s="168">
        <f t="shared" si="15"/>
        <v>-51561674.586711287</v>
      </c>
      <c r="AG7" s="106">
        <f t="shared" si="16"/>
        <v>8.2069894290188433E-2</v>
      </c>
      <c r="AH7" s="106">
        <f t="shared" si="17"/>
        <v>8.0389361135432227E-2</v>
      </c>
      <c r="AI7" s="106">
        <f t="shared" si="18"/>
        <v>8.0357192961668863E-2</v>
      </c>
      <c r="AJ7" s="106">
        <f t="shared" si="19"/>
        <v>7.7594157492241495E-2</v>
      </c>
      <c r="AK7" s="106">
        <f t="shared" si="20"/>
        <v>-6.7957731332744908E-2</v>
      </c>
      <c r="AL7" s="107">
        <f t="shared" si="21"/>
        <v>-7.8415467665792188E-2</v>
      </c>
      <c r="AM7" s="20"/>
      <c r="AN7" s="20"/>
      <c r="AO7" s="20"/>
      <c r="AP7" s="20"/>
      <c r="AQ7" s="20"/>
      <c r="AR7" s="20"/>
      <c r="AS7" s="20"/>
      <c r="AT7" s="20"/>
      <c r="AU7" s="22"/>
      <c r="AV7" s="22"/>
      <c r="AW7" s="22"/>
      <c r="AX7" s="22"/>
      <c r="AY7" s="22"/>
      <c r="AZ7" s="22"/>
      <c r="BA7" s="23"/>
      <c r="BB7" s="23"/>
      <c r="BC7" s="23"/>
      <c r="BD7" s="23"/>
      <c r="BE7" s="23"/>
      <c r="BF7" s="23"/>
    </row>
    <row r="8" spans="2:58" x14ac:dyDescent="0.2">
      <c r="B8" s="26" t="s">
        <v>2</v>
      </c>
      <c r="C8" s="6" t="s">
        <v>13</v>
      </c>
      <c r="D8" s="6">
        <v>1.7732180661340899</v>
      </c>
      <c r="E8" s="6">
        <f t="shared" si="6"/>
        <v>1773.2180661340899</v>
      </c>
      <c r="F8" s="72">
        <f t="shared" si="7"/>
        <v>0.53979240978206688</v>
      </c>
      <c r="G8" s="34">
        <v>1.1648024653615401E-2</v>
      </c>
      <c r="H8" s="35">
        <v>1.14133932355299E-2</v>
      </c>
      <c r="I8" s="35">
        <v>1.1043722041064701E-2</v>
      </c>
      <c r="J8" s="35">
        <v>8.9582249234933797E-3</v>
      </c>
      <c r="K8" s="38">
        <v>-7.9958758766205798E-2</v>
      </c>
      <c r="L8" s="37">
        <v>-7.9204073389645704E-2</v>
      </c>
      <c r="M8" s="45">
        <f t="shared" si="8"/>
        <v>20.654487750566105</v>
      </c>
      <c r="N8" s="46">
        <f t="shared" si="0"/>
        <v>20.238435081134234</v>
      </c>
      <c r="O8" s="46">
        <f t="shared" si="0"/>
        <v>19.582927440579173</v>
      </c>
      <c r="P8" s="46">
        <f t="shared" si="0"/>
        <v>15.884886274831135</v>
      </c>
      <c r="Q8" s="49">
        <f t="shared" si="0"/>
        <v>-141.78431558989365</v>
      </c>
      <c r="R8" s="48">
        <f t="shared" si="0"/>
        <v>-140.44609384593008</v>
      </c>
      <c r="S8" s="54">
        <f t="shared" si="1"/>
        <v>146000</v>
      </c>
      <c r="T8" s="66">
        <f t="shared" si="2"/>
        <v>187624.59999999998</v>
      </c>
      <c r="U8" s="64">
        <f t="shared" si="9"/>
        <v>3875290.0024048649</v>
      </c>
      <c r="V8" s="68">
        <f t="shared" si="3"/>
        <v>3797228.2867237777</v>
      </c>
      <c r="W8" s="68">
        <f t="shared" si="3"/>
        <v>3674238.9278676906</v>
      </c>
      <c r="X8" s="68">
        <f t="shared" si="3"/>
        <v>2980395.4333606814</v>
      </c>
      <c r="Y8" s="70">
        <f t="shared" si="3"/>
        <v>-26602225.498827558</v>
      </c>
      <c r="Z8" s="70">
        <f t="shared" si="3"/>
        <v>-26351142.179405089</v>
      </c>
      <c r="AA8" s="64">
        <f t="shared" si="10"/>
        <v>42469606.227170147</v>
      </c>
      <c r="AB8" s="68">
        <f t="shared" si="11"/>
        <v>41614121.779726021</v>
      </c>
      <c r="AC8" s="68">
        <f t="shared" si="12"/>
        <v>40266271.776885264</v>
      </c>
      <c r="AD8" s="68">
        <f t="shared" si="13"/>
        <v>32662386.654298294</v>
      </c>
      <c r="AE8" s="68">
        <f t="shared" si="14"/>
        <v>-291535869.83180279</v>
      </c>
      <c r="AF8" s="168">
        <f t="shared" si="15"/>
        <v>-288784228.09674144</v>
      </c>
      <c r="AG8" s="106">
        <f t="shared" si="16"/>
        <v>6.4588166706747746E-2</v>
      </c>
      <c r="AH8" s="106">
        <f t="shared" si="17"/>
        <v>6.3287138112062963E-2</v>
      </c>
      <c r="AI8" s="106">
        <f t="shared" si="18"/>
        <v>6.1237315464461511E-2</v>
      </c>
      <c r="AJ8" s="106">
        <f t="shared" si="19"/>
        <v>4.967325722267802E-2</v>
      </c>
      <c r="AK8" s="106">
        <f t="shared" si="20"/>
        <v>-0.44337042498045931</v>
      </c>
      <c r="AL8" s="107">
        <f t="shared" si="21"/>
        <v>-0.4391857029900848</v>
      </c>
      <c r="AM8" s="20"/>
      <c r="AN8" s="20"/>
      <c r="AO8" s="20"/>
      <c r="AP8" s="20"/>
      <c r="AQ8" s="20"/>
      <c r="AR8" s="20"/>
      <c r="AS8" s="20"/>
      <c r="AT8" s="20"/>
      <c r="AU8" s="22"/>
      <c r="AV8" s="22"/>
      <c r="AW8" s="22"/>
      <c r="AX8" s="22"/>
      <c r="AY8" s="22"/>
      <c r="AZ8" s="22"/>
      <c r="BA8" s="23"/>
      <c r="BB8" s="23"/>
      <c r="BC8" s="23"/>
      <c r="BD8" s="23"/>
      <c r="BE8" s="23"/>
      <c r="BF8" s="23"/>
    </row>
    <row r="9" spans="2:58" ht="17" thickBot="1" x14ac:dyDescent="0.25">
      <c r="B9" s="26" t="s">
        <v>3</v>
      </c>
      <c r="C9" s="6" t="s">
        <v>15</v>
      </c>
      <c r="D9" s="6">
        <v>2.2404575039568799</v>
      </c>
      <c r="E9" s="6">
        <f t="shared" si="6"/>
        <v>2240.4575039568799</v>
      </c>
      <c r="F9" s="72">
        <f t="shared" si="7"/>
        <v>0.68202663742979597</v>
      </c>
      <c r="G9" s="39">
        <v>5.4763157878435394E-3</v>
      </c>
      <c r="H9" s="40">
        <v>4.8156961501199099E-3</v>
      </c>
      <c r="I9" s="40">
        <v>4.8903637676298399E-3</v>
      </c>
      <c r="J9" s="41">
        <v>-1.27625488515937E-2</v>
      </c>
      <c r="K9" s="41">
        <v>-8.6788619208643697E-2</v>
      </c>
      <c r="L9" s="42">
        <v>-8.2549350383316802E-2</v>
      </c>
      <c r="M9" s="50">
        <f t="shared" si="8"/>
        <v>12.269452800911591</v>
      </c>
      <c r="N9" s="51">
        <f t="shared" si="0"/>
        <v>10.78936257631241</v>
      </c>
      <c r="O9" s="51">
        <f t="shared" si="0"/>
        <v>10.956652200265115</v>
      </c>
      <c r="P9" s="52">
        <f t="shared" si="0"/>
        <v>-28.593948344169366</v>
      </c>
      <c r="Q9" s="52">
        <f t="shared" si="0"/>
        <v>-194.44621316406199</v>
      </c>
      <c r="R9" s="53">
        <f t="shared" si="0"/>
        <v>-184.94831151306786</v>
      </c>
      <c r="S9" s="55">
        <f t="shared" si="1"/>
        <v>146000</v>
      </c>
      <c r="T9" s="67">
        <f t="shared" si="2"/>
        <v>187624.59999999998</v>
      </c>
      <c r="U9" s="65">
        <f t="shared" si="9"/>
        <v>2302051.1739899167</v>
      </c>
      <c r="V9" s="69">
        <f t="shared" si="3"/>
        <v>2024349.8376355851</v>
      </c>
      <c r="W9" s="69">
        <f t="shared" si="3"/>
        <v>2055737.4864138619</v>
      </c>
      <c r="X9" s="71">
        <f t="shared" si="3"/>
        <v>-5364928.1204954386</v>
      </c>
      <c r="Y9" s="71">
        <f t="shared" si="3"/>
        <v>-36482892.966421857</v>
      </c>
      <c r="Z9" s="71">
        <f t="shared" si="3"/>
        <v>-34700852.968314752</v>
      </c>
      <c r="AA9" s="65">
        <f t="shared" si="10"/>
        <v>25228358.861782141</v>
      </c>
      <c r="AB9" s="69">
        <f t="shared" si="11"/>
        <v>22185008.197339341</v>
      </c>
      <c r="AC9" s="69">
        <f t="shared" si="12"/>
        <v>22528987.895163998</v>
      </c>
      <c r="AD9" s="69">
        <f t="shared" si="13"/>
        <v>-58794666.869607195</v>
      </c>
      <c r="AE9" s="69">
        <f t="shared" si="14"/>
        <v>-399818877.38734943</v>
      </c>
      <c r="AF9" s="169">
        <f t="shared" si="15"/>
        <v>-380289361.67272937</v>
      </c>
      <c r="AG9" s="106">
        <f t="shared" si="16"/>
        <v>3.8367519566498615E-2</v>
      </c>
      <c r="AH9" s="106">
        <f t="shared" si="17"/>
        <v>3.3739163960593087E-2</v>
      </c>
      <c r="AI9" s="106">
        <f t="shared" si="18"/>
        <v>3.4262291440231032E-2</v>
      </c>
      <c r="AJ9" s="106">
        <f t="shared" si="19"/>
        <v>-8.9415468674923976E-2</v>
      </c>
      <c r="AK9" s="106">
        <f t="shared" si="20"/>
        <v>-0.60804821610703097</v>
      </c>
      <c r="AL9" s="107">
        <f t="shared" si="21"/>
        <v>-0.57834754947191258</v>
      </c>
    </row>
    <row r="10" spans="2:58" x14ac:dyDescent="0.2">
      <c r="AA10" s="60" t="s">
        <v>103</v>
      </c>
      <c r="AB10" s="61"/>
      <c r="AC10" s="61"/>
      <c r="AD10" s="61"/>
      <c r="AE10" s="61"/>
      <c r="AF10" s="61"/>
      <c r="AG10" s="118" t="s">
        <v>136</v>
      </c>
      <c r="AH10" s="29" t="s">
        <v>137</v>
      </c>
      <c r="AI10" s="29"/>
      <c r="AJ10" s="29"/>
      <c r="AK10" s="29"/>
      <c r="AL10" s="30"/>
    </row>
    <row r="11" spans="2:58" x14ac:dyDescent="0.2">
      <c r="W11" t="s">
        <v>138</v>
      </c>
      <c r="AA11" s="60" t="s">
        <v>105</v>
      </c>
      <c r="AB11" s="61">
        <v>0.03</v>
      </c>
      <c r="AC11" s="85" t="s">
        <v>106</v>
      </c>
      <c r="AD11" s="85">
        <f>AD2</f>
        <v>20</v>
      </c>
      <c r="AE11" s="61"/>
      <c r="AF11" s="61"/>
      <c r="AG11" s="54"/>
      <c r="AH11" s="27"/>
      <c r="AI11" s="27"/>
      <c r="AJ11" s="27"/>
      <c r="AK11" s="27"/>
      <c r="AL11" s="119"/>
    </row>
    <row r="12" spans="2:58" x14ac:dyDescent="0.2">
      <c r="W12" t="s">
        <v>139</v>
      </c>
      <c r="AA12" s="60">
        <v>1</v>
      </c>
      <c r="AB12" s="61">
        <v>5</v>
      </c>
      <c r="AC12" s="61">
        <v>10</v>
      </c>
      <c r="AD12" s="61">
        <v>20</v>
      </c>
      <c r="AE12" s="61">
        <v>40</v>
      </c>
      <c r="AF12" s="61">
        <v>90</v>
      </c>
      <c r="AG12" s="60">
        <v>1</v>
      </c>
      <c r="AH12" s="61">
        <v>5</v>
      </c>
      <c r="AI12" s="61">
        <v>10</v>
      </c>
      <c r="AJ12" s="61">
        <v>20</v>
      </c>
      <c r="AK12" s="61">
        <v>40</v>
      </c>
      <c r="AL12" s="62">
        <v>90</v>
      </c>
    </row>
    <row r="13" spans="2:58" ht="17" thickBot="1" x14ac:dyDescent="0.25">
      <c r="E13" t="s">
        <v>308</v>
      </c>
      <c r="Z13" s="26" t="s">
        <v>19</v>
      </c>
      <c r="AA13" s="77">
        <f>((U4/(1+$AB$2)^$AD$11)+AG21)*(1+$AB$11)^$AD$11</f>
        <v>36100697.616221003</v>
      </c>
      <c r="AB13" s="78">
        <f t="shared" ref="AB13:AF18" si="22">((V4/(1+$AB$2)^$AD$11)+AH21)*(1+$AB$11)^$AD$11</f>
        <v>36107479.794738129</v>
      </c>
      <c r="AC13" s="78">
        <f t="shared" si="22"/>
        <v>36103876.642004251</v>
      </c>
      <c r="AD13" s="78">
        <f t="shared" si="22"/>
        <v>36130786.026705675</v>
      </c>
      <c r="AE13" s="78">
        <f t="shared" si="22"/>
        <v>36006111.414757334</v>
      </c>
      <c r="AF13" s="78">
        <f t="shared" si="22"/>
        <v>35619431.481181979</v>
      </c>
      <c r="AG13" s="141">
        <f>IF(AG21/U4&gt;0,AG21/U4,"nan")</f>
        <v>2.4640925678944452</v>
      </c>
      <c r="AH13" s="122">
        <f t="shared" ref="AH13:AL18" si="23">IF(AH21/V4&gt;0,AH21/V4,"nan")</f>
        <v>2.4587955726701578</v>
      </c>
      <c r="AI13" s="122">
        <f t="shared" si="23"/>
        <v>2.4616068566024039</v>
      </c>
      <c r="AJ13" s="122">
        <f t="shared" si="23"/>
        <v>2.4407653355996493</v>
      </c>
      <c r="AK13" s="122">
        <f t="shared" si="23"/>
        <v>2.5404182964964548</v>
      </c>
      <c r="AL13" s="120">
        <f t="shared" si="23"/>
        <v>2.9087549381634838</v>
      </c>
    </row>
    <row r="14" spans="2:58" ht="17" thickBot="1" x14ac:dyDescent="0.25">
      <c r="D14" s="91"/>
      <c r="E14" s="151" t="s">
        <v>45</v>
      </c>
      <c r="F14" s="151"/>
      <c r="G14" s="151" t="s">
        <v>44</v>
      </c>
      <c r="H14" s="151" t="s">
        <v>59</v>
      </c>
      <c r="I14" s="151" t="s">
        <v>41</v>
      </c>
      <c r="J14" s="151" t="s">
        <v>60</v>
      </c>
      <c r="K14" s="151" t="s">
        <v>61</v>
      </c>
      <c r="L14" s="151" t="s">
        <v>69</v>
      </c>
      <c r="M14" s="151" t="s">
        <v>52</v>
      </c>
      <c r="N14" s="151" t="s">
        <v>78</v>
      </c>
      <c r="O14" s="151" t="s">
        <v>64</v>
      </c>
      <c r="P14" s="151" t="s">
        <v>63</v>
      </c>
      <c r="Q14" s="152" t="s">
        <v>62</v>
      </c>
      <c r="Z14" s="26" t="s">
        <v>1</v>
      </c>
      <c r="AA14" s="77">
        <f t="shared" ref="AA14:AA18" si="24">((U5/(1+$AB$2)^$AD$11)+AG22)*(1+$AB$11)^$AD$11</f>
        <v>111820592.51586184</v>
      </c>
      <c r="AB14" s="78">
        <f t="shared" si="22"/>
        <v>111833906.20188341</v>
      </c>
      <c r="AC14" s="78">
        <f t="shared" si="22"/>
        <v>111842836.5229498</v>
      </c>
      <c r="AD14" s="78">
        <f t="shared" si="22"/>
        <v>111575214.35732208</v>
      </c>
      <c r="AE14" s="78">
        <f t="shared" si="22"/>
        <v>111253629.67034896</v>
      </c>
      <c r="AF14" s="78">
        <f t="shared" si="22"/>
        <v>111051879.98068592</v>
      </c>
      <c r="AG14" s="141">
        <f t="shared" ref="AG14:AG18" si="25">IF(AG22/U5&gt;0,AG22/U5,"nan")</f>
        <v>7.3860863726276484</v>
      </c>
      <c r="AH14" s="122">
        <f t="shared" si="23"/>
        <v>7.3577248348242321</v>
      </c>
      <c r="AI14" s="122">
        <f t="shared" si="23"/>
        <v>7.3388227132535055</v>
      </c>
      <c r="AJ14" s="122">
        <f t="shared" si="23"/>
        <v>7.9509489320394824</v>
      </c>
      <c r="AK14" s="122">
        <f t="shared" si="23"/>
        <v>8.8366235964308526</v>
      </c>
      <c r="AL14" s="120">
        <f t="shared" si="23"/>
        <v>9.5005525964017394</v>
      </c>
    </row>
    <row r="15" spans="2:58" x14ac:dyDescent="0.2">
      <c r="D15" s="91"/>
      <c r="E15" t="s">
        <v>46</v>
      </c>
      <c r="G15" s="3" t="s">
        <v>42</v>
      </c>
      <c r="H15" s="135"/>
      <c r="I15" t="s">
        <v>65</v>
      </c>
      <c r="J15" s="135"/>
      <c r="K15" t="s">
        <v>65</v>
      </c>
      <c r="L15">
        <v>6</v>
      </c>
      <c r="M15" t="s">
        <v>71</v>
      </c>
      <c r="N15" t="s">
        <v>224</v>
      </c>
      <c r="O15" t="s">
        <v>229</v>
      </c>
      <c r="P15" t="s">
        <v>222</v>
      </c>
      <c r="Q15" s="91" t="s">
        <v>223</v>
      </c>
      <c r="Z15" s="26" t="s">
        <v>0</v>
      </c>
      <c r="AA15" s="77">
        <f t="shared" si="24"/>
        <v>111249319.21939883</v>
      </c>
      <c r="AB15" s="78">
        <f t="shared" si="22"/>
        <v>110780822.82395317</v>
      </c>
      <c r="AC15" s="78">
        <f t="shared" si="22"/>
        <v>110329438.96950924</v>
      </c>
      <c r="AD15" s="78">
        <f t="shared" si="22"/>
        <v>108821859.06634572</v>
      </c>
      <c r="AE15" s="78">
        <f t="shared" si="22"/>
        <v>108559218.67756791</v>
      </c>
      <c r="AF15" s="78">
        <f t="shared" si="22"/>
        <v>103014539.15229806</v>
      </c>
      <c r="AG15" s="141">
        <f t="shared" si="25"/>
        <v>8.849837096788157</v>
      </c>
      <c r="AH15" s="122">
        <f t="shared" si="23"/>
        <v>10.567261008961982</v>
      </c>
      <c r="AI15" s="122">
        <f t="shared" si="23"/>
        <v>12.997450702610578</v>
      </c>
      <c r="AJ15" s="122">
        <f t="shared" si="23"/>
        <v>56.045213846153985</v>
      </c>
      <c r="AK15" s="122">
        <f t="shared" si="23"/>
        <v>132.49366761851741</v>
      </c>
      <c r="AL15" s="120" t="str">
        <f t="shared" si="23"/>
        <v>nan</v>
      </c>
    </row>
    <row r="16" spans="2:58" x14ac:dyDescent="0.2">
      <c r="D16" s="91"/>
      <c r="G16" s="15" t="s">
        <v>43</v>
      </c>
      <c r="H16" t="s">
        <v>219</v>
      </c>
      <c r="I16" t="s">
        <v>57</v>
      </c>
      <c r="J16" t="s">
        <v>221</v>
      </c>
      <c r="K16" t="s">
        <v>57</v>
      </c>
      <c r="L16">
        <v>7</v>
      </c>
      <c r="M16" t="s">
        <v>153</v>
      </c>
      <c r="N16" t="s">
        <v>220</v>
      </c>
      <c r="O16" s="135"/>
      <c r="P16" t="s">
        <v>71</v>
      </c>
      <c r="Q16" s="91" t="s">
        <v>225</v>
      </c>
      <c r="Z16" s="26" t="s">
        <v>40</v>
      </c>
      <c r="AA16" s="77">
        <f t="shared" si="24"/>
        <v>110460354.22018614</v>
      </c>
      <c r="AB16" s="78">
        <f t="shared" si="22"/>
        <v>110417482.23989189</v>
      </c>
      <c r="AC16" s="78">
        <f t="shared" si="22"/>
        <v>110416661.59954463</v>
      </c>
      <c r="AD16" s="78">
        <f t="shared" si="22"/>
        <v>110346173.96776994</v>
      </c>
      <c r="AE16" s="78">
        <f t="shared" si="22"/>
        <v>106633008.48106967</v>
      </c>
      <c r="AF16" s="78">
        <f t="shared" si="22"/>
        <v>106366221.7980911</v>
      </c>
      <c r="AG16" s="141">
        <f t="shared" si="25"/>
        <v>12.1847360551499</v>
      </c>
      <c r="AH16" s="122">
        <f t="shared" si="23"/>
        <v>12.439456986295694</v>
      </c>
      <c r="AI16" s="122">
        <f t="shared" si="23"/>
        <v>12.44443668505207</v>
      </c>
      <c r="AJ16" s="122">
        <f t="shared" si="23"/>
        <v>12.887568243781605</v>
      </c>
      <c r="AK16" s="122" t="str">
        <f t="shared" si="23"/>
        <v>nan</v>
      </c>
      <c r="AL16" s="120" t="str">
        <f t="shared" si="23"/>
        <v>nan</v>
      </c>
    </row>
    <row r="17" spans="4:38" x14ac:dyDescent="0.2">
      <c r="D17" s="91"/>
      <c r="Q17" s="91"/>
      <c r="Z17" s="26" t="s">
        <v>2</v>
      </c>
      <c r="AA17" s="77">
        <f t="shared" si="24"/>
        <v>110014378.91863041</v>
      </c>
      <c r="AB17" s="78">
        <f t="shared" si="22"/>
        <v>109981188.45635615</v>
      </c>
      <c r="AC17" s="78">
        <f t="shared" si="22"/>
        <v>109928895.55400787</v>
      </c>
      <c r="AD17" s="78">
        <f t="shared" si="22"/>
        <v>109633885.55931649</v>
      </c>
      <c r="AE17" s="78">
        <f t="shared" si="22"/>
        <v>97055877.819453806</v>
      </c>
      <c r="AF17" s="78">
        <f t="shared" si="22"/>
        <v>97162634.0106069</v>
      </c>
      <c r="AG17" s="141">
        <f t="shared" si="25"/>
        <v>15.482712251925964</v>
      </c>
      <c r="AH17" s="122">
        <f t="shared" si="23"/>
        <v>15.800998904853198</v>
      </c>
      <c r="AI17" s="122">
        <f t="shared" si="23"/>
        <v>16.329912446608482</v>
      </c>
      <c r="AJ17" s="122">
        <f t="shared" si="23"/>
        <v>20.131556815715641</v>
      </c>
      <c r="AK17" s="122" t="str">
        <f t="shared" si="23"/>
        <v>nan</v>
      </c>
      <c r="AL17" s="120" t="str">
        <f t="shared" si="23"/>
        <v>nan</v>
      </c>
    </row>
    <row r="18" spans="4:38" ht="17" thickBot="1" x14ac:dyDescent="0.25">
      <c r="D18" s="91"/>
      <c r="E18" t="s">
        <v>50</v>
      </c>
      <c r="G18" s="3" t="s">
        <v>51</v>
      </c>
      <c r="H18" t="s">
        <v>226</v>
      </c>
      <c r="I18" t="s">
        <v>65</v>
      </c>
      <c r="J18" s="135" t="s">
        <v>227</v>
      </c>
      <c r="K18" t="s">
        <v>65</v>
      </c>
      <c r="L18">
        <v>7</v>
      </c>
      <c r="M18" t="s">
        <v>71</v>
      </c>
      <c r="N18" s="135" t="s">
        <v>228</v>
      </c>
      <c r="O18" t="s">
        <v>71</v>
      </c>
      <c r="P18" t="s">
        <v>229</v>
      </c>
      <c r="Q18" s="153"/>
      <c r="Z18" s="26" t="s">
        <v>3</v>
      </c>
      <c r="AA18" s="80">
        <f t="shared" si="24"/>
        <v>109345465.56555681</v>
      </c>
      <c r="AB18" s="81">
        <f t="shared" si="22"/>
        <v>109227391.86390467</v>
      </c>
      <c r="AC18" s="81">
        <f t="shared" si="22"/>
        <v>109240737.33759257</v>
      </c>
      <c r="AD18" s="81">
        <f t="shared" si="22"/>
        <v>106085601.43355642</v>
      </c>
      <c r="AE18" s="81">
        <f t="shared" si="22"/>
        <v>92854792.58879444</v>
      </c>
      <c r="AF18" s="81">
        <f t="shared" si="22"/>
        <v>93612484.510017931</v>
      </c>
      <c r="AG18" s="142">
        <f t="shared" si="25"/>
        <v>26.063712517740409</v>
      </c>
      <c r="AH18" s="123">
        <f t="shared" si="23"/>
        <v>29.639145805983436</v>
      </c>
      <c r="AI18" s="123">
        <f t="shared" si="23"/>
        <v>29.186605973055052</v>
      </c>
      <c r="AJ18" s="123" t="str">
        <f>IF(AJ26/X9&gt;0,AJ26/X9,"nan")</f>
        <v>nan</v>
      </c>
      <c r="AK18" s="123" t="str">
        <f t="shared" si="23"/>
        <v>nan</v>
      </c>
      <c r="AL18" s="121" t="str">
        <f t="shared" si="23"/>
        <v>nan</v>
      </c>
    </row>
    <row r="19" spans="4:38" x14ac:dyDescent="0.2">
      <c r="D19" s="91"/>
      <c r="Q19" s="91"/>
      <c r="AA19" s="98" t="s">
        <v>143</v>
      </c>
      <c r="AB19" s="3"/>
      <c r="AC19" s="3"/>
      <c r="AD19" s="3"/>
      <c r="AE19" s="3"/>
      <c r="AF19" s="3"/>
      <c r="AG19" s="3" t="s">
        <v>109</v>
      </c>
      <c r="AH19" s="3"/>
      <c r="AI19" s="3"/>
      <c r="AJ19" s="3"/>
      <c r="AK19" s="3"/>
      <c r="AL19" s="3"/>
    </row>
    <row r="20" spans="4:38" x14ac:dyDescent="0.2">
      <c r="D20" s="91"/>
      <c r="Q20" s="91"/>
      <c r="AA20" s="3">
        <v>1</v>
      </c>
      <c r="AB20" s="3">
        <v>5</v>
      </c>
      <c r="AC20" s="3">
        <v>10</v>
      </c>
      <c r="AD20" s="3">
        <v>20</v>
      </c>
      <c r="AE20" s="3">
        <v>40</v>
      </c>
      <c r="AF20" s="3">
        <v>90</v>
      </c>
      <c r="AG20" s="3">
        <v>1</v>
      </c>
      <c r="AH20" s="3">
        <v>5</v>
      </c>
      <c r="AI20" s="3">
        <v>10</v>
      </c>
      <c r="AJ20" s="3">
        <v>20</v>
      </c>
      <c r="AK20" s="3">
        <v>40</v>
      </c>
      <c r="AL20" s="3">
        <v>90</v>
      </c>
    </row>
    <row r="21" spans="4:38" x14ac:dyDescent="0.2">
      <c r="D21" s="91"/>
      <c r="E21" t="s">
        <v>47</v>
      </c>
      <c r="G21" t="s">
        <v>48</v>
      </c>
      <c r="H21" t="s">
        <v>71</v>
      </c>
      <c r="I21" t="s">
        <v>58</v>
      </c>
      <c r="J21" t="s">
        <v>71</v>
      </c>
      <c r="K21" t="s">
        <v>58</v>
      </c>
      <c r="L21">
        <v>8</v>
      </c>
      <c r="M21" t="s">
        <v>71</v>
      </c>
      <c r="N21" t="s">
        <v>71</v>
      </c>
      <c r="O21" t="s">
        <v>71</v>
      </c>
      <c r="P21" t="s">
        <v>71</v>
      </c>
      <c r="Q21" s="91" t="s">
        <v>71</v>
      </c>
      <c r="Z21" s="26" t="s">
        <v>19</v>
      </c>
      <c r="AA21" s="112">
        <f>$AA$40</f>
        <v>113362000</v>
      </c>
      <c r="AB21" s="112">
        <f t="shared" ref="AB21:AF21" si="26">$AA$40</f>
        <v>113362000</v>
      </c>
      <c r="AC21" s="112">
        <f t="shared" si="26"/>
        <v>113362000</v>
      </c>
      <c r="AD21" s="112">
        <f t="shared" si="26"/>
        <v>113362000</v>
      </c>
      <c r="AE21" s="112">
        <f t="shared" si="26"/>
        <v>113362000</v>
      </c>
      <c r="AF21" s="112">
        <f t="shared" si="26"/>
        <v>113362000</v>
      </c>
      <c r="AG21" s="112">
        <f>AA29-AA21</f>
        <v>18245000</v>
      </c>
      <c r="AH21" s="112">
        <f t="shared" ref="AH21:AL26" si="27">AB29-AB21</f>
        <v>18245000</v>
      </c>
      <c r="AI21" s="112">
        <f t="shared" si="27"/>
        <v>18245000</v>
      </c>
      <c r="AJ21" s="112">
        <f t="shared" si="27"/>
        <v>18245000</v>
      </c>
      <c r="AK21" s="112">
        <f t="shared" si="27"/>
        <v>18245000</v>
      </c>
      <c r="AL21" s="112">
        <f t="shared" si="27"/>
        <v>18245000</v>
      </c>
    </row>
    <row r="22" spans="4:38" x14ac:dyDescent="0.2">
      <c r="D22" s="91"/>
      <c r="G22" s="3" t="s">
        <v>49</v>
      </c>
      <c r="H22" t="s">
        <v>234</v>
      </c>
      <c r="I22" t="s">
        <v>57</v>
      </c>
      <c r="K22" t="s">
        <v>66</v>
      </c>
      <c r="L22">
        <v>10</v>
      </c>
      <c r="M22" t="s">
        <v>230</v>
      </c>
      <c r="N22" t="s">
        <v>231</v>
      </c>
      <c r="O22" t="s">
        <v>232</v>
      </c>
      <c r="P22" t="s">
        <v>233</v>
      </c>
      <c r="Q22" s="91"/>
      <c r="Z22" s="26" t="s">
        <v>1</v>
      </c>
      <c r="AA22" s="112">
        <v>20000000</v>
      </c>
      <c r="AB22" s="112">
        <v>20000000</v>
      </c>
      <c r="AC22" s="112">
        <v>20000000</v>
      </c>
      <c r="AD22" s="112">
        <v>20000000</v>
      </c>
      <c r="AE22" s="112">
        <v>20000000</v>
      </c>
      <c r="AF22" s="112">
        <v>20000000</v>
      </c>
      <c r="AG22" s="112">
        <f t="shared" ref="AG22:AG26" si="28">AA30-AA22</f>
        <v>60000000</v>
      </c>
      <c r="AH22" s="112">
        <f t="shared" si="27"/>
        <v>60000000</v>
      </c>
      <c r="AI22" s="112">
        <f t="shared" si="27"/>
        <v>60000000</v>
      </c>
      <c r="AJ22" s="112">
        <f t="shared" si="27"/>
        <v>60000000</v>
      </c>
      <c r="AK22" s="112">
        <f t="shared" si="27"/>
        <v>60000000</v>
      </c>
      <c r="AL22" s="112">
        <f t="shared" si="27"/>
        <v>60000000</v>
      </c>
    </row>
    <row r="23" spans="4:38" x14ac:dyDescent="0.2">
      <c r="D23" s="91"/>
      <c r="G23" s="15" t="s">
        <v>54</v>
      </c>
      <c r="H23" t="s">
        <v>235</v>
      </c>
      <c r="I23" t="s">
        <v>67</v>
      </c>
      <c r="J23" t="s">
        <v>236</v>
      </c>
      <c r="K23" t="s">
        <v>68</v>
      </c>
      <c r="L23">
        <v>10</v>
      </c>
      <c r="M23" t="s">
        <v>237</v>
      </c>
      <c r="N23" t="s">
        <v>220</v>
      </c>
      <c r="O23" t="s">
        <v>220</v>
      </c>
      <c r="P23" t="s">
        <v>71</v>
      </c>
      <c r="Q23" s="91" t="s">
        <v>238</v>
      </c>
      <c r="Z23" s="26" t="s">
        <v>0</v>
      </c>
      <c r="AA23" s="112">
        <v>20000000</v>
      </c>
      <c r="AB23" s="112">
        <v>20000000</v>
      </c>
      <c r="AC23" s="112">
        <v>20000000</v>
      </c>
      <c r="AD23" s="112">
        <v>20000000</v>
      </c>
      <c r="AE23" s="112">
        <v>20000000</v>
      </c>
      <c r="AF23" s="112">
        <v>20000000</v>
      </c>
      <c r="AG23" s="112">
        <f t="shared" si="28"/>
        <v>60000000</v>
      </c>
      <c r="AH23" s="112">
        <f t="shared" si="27"/>
        <v>60000000</v>
      </c>
      <c r="AI23" s="112">
        <f t="shared" si="27"/>
        <v>60000000</v>
      </c>
      <c r="AJ23" s="112">
        <f t="shared" si="27"/>
        <v>60000000</v>
      </c>
      <c r="AK23" s="112">
        <f t="shared" si="27"/>
        <v>60000000</v>
      </c>
      <c r="AL23" s="112">
        <f t="shared" si="27"/>
        <v>60000000</v>
      </c>
    </row>
    <row r="24" spans="4:38" x14ac:dyDescent="0.2">
      <c r="D24" s="91"/>
      <c r="G24" s="17"/>
      <c r="Q24" s="91"/>
      <c r="Z24" s="26" t="s">
        <v>40</v>
      </c>
      <c r="AA24" s="112">
        <v>20000000</v>
      </c>
      <c r="AB24" s="112">
        <v>20000000</v>
      </c>
      <c r="AC24" s="112">
        <v>20000000</v>
      </c>
      <c r="AD24" s="112">
        <v>20000000</v>
      </c>
      <c r="AE24" s="112">
        <v>20000000</v>
      </c>
      <c r="AF24" s="112">
        <v>20000000</v>
      </c>
      <c r="AG24" s="112">
        <f t="shared" si="28"/>
        <v>60000000</v>
      </c>
      <c r="AH24" s="112">
        <f t="shared" si="27"/>
        <v>60000000</v>
      </c>
      <c r="AI24" s="112">
        <f t="shared" si="27"/>
        <v>60000000</v>
      </c>
      <c r="AJ24" s="112">
        <f t="shared" si="27"/>
        <v>60000000</v>
      </c>
      <c r="AK24" s="112">
        <f t="shared" si="27"/>
        <v>60000000</v>
      </c>
      <c r="AL24" s="112">
        <f t="shared" si="27"/>
        <v>60000000</v>
      </c>
    </row>
    <row r="25" spans="4:38" x14ac:dyDescent="0.2">
      <c r="D25" s="91"/>
      <c r="E25" t="s">
        <v>70</v>
      </c>
      <c r="G25" t="s">
        <v>53</v>
      </c>
      <c r="I25" t="s">
        <v>57</v>
      </c>
      <c r="K25" t="s">
        <v>57</v>
      </c>
      <c r="L25" t="s">
        <v>239</v>
      </c>
      <c r="Q25" s="91"/>
      <c r="Z25" s="26" t="s">
        <v>2</v>
      </c>
      <c r="AA25" s="112">
        <v>20000000</v>
      </c>
      <c r="AB25" s="112">
        <v>20000000</v>
      </c>
      <c r="AC25" s="112">
        <v>20000000</v>
      </c>
      <c r="AD25" s="112">
        <v>20000000</v>
      </c>
      <c r="AE25" s="112">
        <v>20000000</v>
      </c>
      <c r="AF25" s="112">
        <v>20000000</v>
      </c>
      <c r="AG25" s="112">
        <f t="shared" si="28"/>
        <v>60000000</v>
      </c>
      <c r="AH25" s="112">
        <f t="shared" si="27"/>
        <v>60000000</v>
      </c>
      <c r="AI25" s="112">
        <f t="shared" si="27"/>
        <v>60000000</v>
      </c>
      <c r="AJ25" s="112">
        <f t="shared" si="27"/>
        <v>60000000</v>
      </c>
      <c r="AK25" s="112">
        <f t="shared" si="27"/>
        <v>60000000</v>
      </c>
      <c r="AL25" s="112">
        <f t="shared" si="27"/>
        <v>60000000</v>
      </c>
    </row>
    <row r="26" spans="4:38" x14ac:dyDescent="0.2">
      <c r="D26" s="91"/>
      <c r="G26" t="s">
        <v>56</v>
      </c>
      <c r="I26" t="s">
        <v>57</v>
      </c>
      <c r="K26" t="s">
        <v>57</v>
      </c>
      <c r="L26" t="s">
        <v>239</v>
      </c>
      <c r="Q26" s="91"/>
      <c r="Z26" s="26" t="s">
        <v>3</v>
      </c>
      <c r="AA26" s="134">
        <v>20000000</v>
      </c>
      <c r="AB26" s="134">
        <v>20000000</v>
      </c>
      <c r="AC26" s="134">
        <v>20000000</v>
      </c>
      <c r="AD26" s="134">
        <v>20000000</v>
      </c>
      <c r="AE26" s="134">
        <v>20000000</v>
      </c>
      <c r="AF26" s="134">
        <v>20000000</v>
      </c>
      <c r="AG26" s="112">
        <f t="shared" si="28"/>
        <v>60000000</v>
      </c>
      <c r="AH26" s="112">
        <f t="shared" si="27"/>
        <v>60000000</v>
      </c>
      <c r="AI26" s="112">
        <f t="shared" si="27"/>
        <v>60000000</v>
      </c>
      <c r="AJ26" s="112">
        <f t="shared" si="27"/>
        <v>60000000</v>
      </c>
      <c r="AK26" s="112">
        <f t="shared" si="27"/>
        <v>60000000</v>
      </c>
      <c r="AL26" s="112">
        <f t="shared" si="27"/>
        <v>60000000</v>
      </c>
    </row>
    <row r="27" spans="4:38" ht="17" thickBot="1" x14ac:dyDescent="0.25">
      <c r="D27" s="91"/>
      <c r="E27" s="16"/>
      <c r="F27" s="16"/>
      <c r="G27" s="16" t="s">
        <v>55</v>
      </c>
      <c r="H27" s="16"/>
      <c r="I27" s="16" t="s">
        <v>57</v>
      </c>
      <c r="J27" s="16"/>
      <c r="K27" s="16" t="s">
        <v>57</v>
      </c>
      <c r="L27" s="16" t="s">
        <v>239</v>
      </c>
      <c r="M27" s="16"/>
      <c r="N27" s="16"/>
      <c r="O27" s="16"/>
      <c r="P27" s="16"/>
      <c r="Q27" s="92"/>
      <c r="AA27" s="3" t="s">
        <v>108</v>
      </c>
      <c r="AB27" s="3"/>
      <c r="AC27" s="3"/>
      <c r="AD27" s="3"/>
      <c r="AE27" s="3"/>
      <c r="AF27" s="3"/>
    </row>
    <row r="28" spans="4:38" x14ac:dyDescent="0.2">
      <c r="AA28" s="3">
        <v>1</v>
      </c>
      <c r="AB28" s="3">
        <v>5</v>
      </c>
      <c r="AC28" s="3">
        <v>10</v>
      </c>
      <c r="AD28" s="3">
        <v>20</v>
      </c>
      <c r="AE28" s="3">
        <v>40</v>
      </c>
      <c r="AF28" s="3">
        <v>90</v>
      </c>
      <c r="AH28" t="s">
        <v>169</v>
      </c>
    </row>
    <row r="29" spans="4:38" x14ac:dyDescent="0.2">
      <c r="Z29" s="26" t="s">
        <v>19</v>
      </c>
      <c r="AA29" s="112">
        <f>$AB$40</f>
        <v>131607000</v>
      </c>
      <c r="AB29" s="112">
        <f t="shared" ref="AB29:AF29" si="29">$AB$40</f>
        <v>131607000</v>
      </c>
      <c r="AC29" s="112">
        <f t="shared" si="29"/>
        <v>131607000</v>
      </c>
      <c r="AD29" s="112">
        <f t="shared" si="29"/>
        <v>131607000</v>
      </c>
      <c r="AE29" s="112">
        <f t="shared" si="29"/>
        <v>131607000</v>
      </c>
      <c r="AF29" s="112">
        <f t="shared" si="29"/>
        <v>131607000</v>
      </c>
      <c r="AH29" t="s">
        <v>170</v>
      </c>
      <c r="AK29" t="s">
        <v>171</v>
      </c>
    </row>
    <row r="30" spans="4:38" x14ac:dyDescent="0.2">
      <c r="E30" t="s">
        <v>257</v>
      </c>
      <c r="Z30" s="26" t="s">
        <v>1</v>
      </c>
      <c r="AA30" s="112">
        <v>80000000</v>
      </c>
      <c r="AB30" s="112">
        <v>80000000</v>
      </c>
      <c r="AC30" s="112">
        <v>80000000</v>
      </c>
      <c r="AD30" s="112">
        <v>80000000</v>
      </c>
      <c r="AE30" s="112">
        <v>80000000</v>
      </c>
      <c r="AF30" s="112">
        <v>80000000</v>
      </c>
      <c r="AH30" t="s">
        <v>156</v>
      </c>
      <c r="AI30" s="113">
        <v>0.5</v>
      </c>
      <c r="AK30" t="s">
        <v>161</v>
      </c>
      <c r="AL30" s="14">
        <f>F4</f>
        <v>0.50523336824274578</v>
      </c>
    </row>
    <row r="31" spans="4:38" x14ac:dyDescent="0.2">
      <c r="Z31" s="26" t="s">
        <v>0</v>
      </c>
      <c r="AA31" s="112">
        <v>80000000</v>
      </c>
      <c r="AB31" s="112">
        <v>80000000</v>
      </c>
      <c r="AC31" s="112">
        <v>80000000</v>
      </c>
      <c r="AD31" s="112">
        <v>80000000</v>
      </c>
      <c r="AE31" s="112">
        <v>80000000</v>
      </c>
      <c r="AF31" s="112">
        <v>80000000</v>
      </c>
      <c r="AH31" t="s">
        <v>154</v>
      </c>
      <c r="AI31" s="144">
        <v>0.01</v>
      </c>
      <c r="AK31" t="s">
        <v>154</v>
      </c>
      <c r="AL31" s="14">
        <f>G4</f>
        <v>2.3777690494981896E-2</v>
      </c>
    </row>
    <row r="32" spans="4:38" x14ac:dyDescent="0.2">
      <c r="Z32" s="26" t="s">
        <v>40</v>
      </c>
      <c r="AA32" s="112">
        <v>80000000</v>
      </c>
      <c r="AB32" s="112">
        <v>80000000</v>
      </c>
      <c r="AC32" s="112">
        <v>80000000</v>
      </c>
      <c r="AD32" s="112">
        <v>80000000</v>
      </c>
      <c r="AE32" s="112">
        <v>80000000</v>
      </c>
      <c r="AF32" s="112">
        <v>80000000</v>
      </c>
      <c r="AH32" t="s">
        <v>157</v>
      </c>
      <c r="AI32" s="113">
        <f>AI30+AI31</f>
        <v>0.51</v>
      </c>
      <c r="AK32" t="s">
        <v>157</v>
      </c>
      <c r="AL32" s="14">
        <f>AL30+AL31</f>
        <v>0.52901105873772769</v>
      </c>
    </row>
    <row r="33" spans="3:39" x14ac:dyDescent="0.2">
      <c r="C33">
        <v>15</v>
      </c>
      <c r="E33" t="s">
        <v>96</v>
      </c>
      <c r="Z33" s="26" t="s">
        <v>2</v>
      </c>
      <c r="AA33" s="112">
        <v>80000000</v>
      </c>
      <c r="AB33" s="112">
        <v>80000000</v>
      </c>
      <c r="AC33" s="112">
        <v>80000000</v>
      </c>
      <c r="AD33" s="112">
        <v>80000000</v>
      </c>
      <c r="AE33" s="112">
        <v>80000000</v>
      </c>
      <c r="AF33" s="112">
        <v>80000000</v>
      </c>
      <c r="AH33" t="s">
        <v>155</v>
      </c>
      <c r="AI33" s="145">
        <v>650</v>
      </c>
      <c r="AJ33" t="s">
        <v>158</v>
      </c>
      <c r="AK33" t="s">
        <v>155</v>
      </c>
      <c r="AL33">
        <f>15*25/1000</f>
        <v>0.375</v>
      </c>
      <c r="AM33" t="s">
        <v>158</v>
      </c>
    </row>
    <row r="34" spans="3:39" x14ac:dyDescent="0.2">
      <c r="C34">
        <v>25</v>
      </c>
      <c r="E34" t="s">
        <v>97</v>
      </c>
      <c r="Z34" s="26" t="s">
        <v>3</v>
      </c>
      <c r="AA34" s="112">
        <v>80000000</v>
      </c>
      <c r="AB34" s="112">
        <v>80000000</v>
      </c>
      <c r="AC34" s="112">
        <v>80000000</v>
      </c>
      <c r="AD34" s="112">
        <v>80000000</v>
      </c>
      <c r="AE34" s="112">
        <v>80000000</v>
      </c>
      <c r="AF34" s="112">
        <v>80000000</v>
      </c>
      <c r="AH34" t="s">
        <v>164</v>
      </c>
      <c r="AI34">
        <f>365*24*AI30*AI33</f>
        <v>2847000</v>
      </c>
      <c r="AJ34" t="s">
        <v>160</v>
      </c>
      <c r="AK34" t="s">
        <v>164</v>
      </c>
      <c r="AL34">
        <f>365*24*AL30*$AL$33</f>
        <v>1659.6916146774199</v>
      </c>
      <c r="AM34" t="s">
        <v>160</v>
      </c>
    </row>
    <row r="35" spans="3:39" x14ac:dyDescent="0.2">
      <c r="C35">
        <v>0.5</v>
      </c>
      <c r="E35" t="s">
        <v>98</v>
      </c>
      <c r="AH35" t="s">
        <v>162</v>
      </c>
      <c r="AI35">
        <f>365*24*AI33*AI31</f>
        <v>56940</v>
      </c>
      <c r="AJ35" t="s">
        <v>160</v>
      </c>
      <c r="AK35" t="s">
        <v>162</v>
      </c>
      <c r="AL35">
        <f>365*24*AL31*$AL$33</f>
        <v>78.109713276015526</v>
      </c>
      <c r="AM35" t="s">
        <v>160</v>
      </c>
    </row>
    <row r="36" spans="3:39" x14ac:dyDescent="0.2">
      <c r="C36">
        <f>C33*C34*C35*365*24</f>
        <v>1642500</v>
      </c>
      <c r="E36" t="s">
        <v>99</v>
      </c>
      <c r="AH36" t="s">
        <v>163</v>
      </c>
      <c r="AI36">
        <f>365*24*AI33*AI32</f>
        <v>2903940</v>
      </c>
      <c r="AJ36" t="s">
        <v>160</v>
      </c>
      <c r="AK36" t="s">
        <v>163</v>
      </c>
      <c r="AL36">
        <f>365*24*AL32*$AL$33</f>
        <v>1737.8013279534352</v>
      </c>
      <c r="AM36" t="s">
        <v>160</v>
      </c>
    </row>
    <row r="37" spans="3:39" x14ac:dyDescent="0.2">
      <c r="C37">
        <f>C36/1000</f>
        <v>1642.5</v>
      </c>
      <c r="E37" t="s">
        <v>100</v>
      </c>
      <c r="AA37" t="s">
        <v>144</v>
      </c>
      <c r="AB37" t="s">
        <v>145</v>
      </c>
      <c r="AC37" t="s">
        <v>148</v>
      </c>
      <c r="AH37" t="s">
        <v>159</v>
      </c>
      <c r="AI37" s="146">
        <v>1100000000</v>
      </c>
      <c r="AK37" t="s">
        <v>159</v>
      </c>
      <c r="AL37" s="103">
        <f>AI37/AI35*AL35</f>
        <v>1508968.819873851</v>
      </c>
      <c r="AM37" t="s">
        <v>240</v>
      </c>
    </row>
    <row r="38" spans="3:39" x14ac:dyDescent="0.2">
      <c r="Z38" t="s">
        <v>146</v>
      </c>
      <c r="AA38" s="102">
        <v>88362000</v>
      </c>
      <c r="AB38" s="102">
        <v>93607000</v>
      </c>
      <c r="AC38" s="102">
        <f>AB38-AA38</f>
        <v>5245000</v>
      </c>
      <c r="AH38" t="s">
        <v>165</v>
      </c>
      <c r="AI38">
        <v>20</v>
      </c>
      <c r="AJ38" t="s">
        <v>167</v>
      </c>
      <c r="AK38" t="s">
        <v>165</v>
      </c>
      <c r="AL38">
        <v>20</v>
      </c>
      <c r="AM38" t="s">
        <v>167</v>
      </c>
    </row>
    <row r="39" spans="3:39" x14ac:dyDescent="0.2">
      <c r="Z39" t="s">
        <v>147</v>
      </c>
      <c r="AA39" s="102">
        <v>25000000</v>
      </c>
      <c r="AB39" s="102">
        <v>38000000</v>
      </c>
      <c r="AC39" s="102">
        <f>AB39-AA39</f>
        <v>13000000</v>
      </c>
      <c r="AJ39" s="100" t="s">
        <v>241</v>
      </c>
      <c r="AK39" t="s">
        <v>166</v>
      </c>
      <c r="AL39">
        <v>146</v>
      </c>
      <c r="AM39" t="s">
        <v>167</v>
      </c>
    </row>
    <row r="40" spans="3:39" x14ac:dyDescent="0.2">
      <c r="Z40" t="s">
        <v>149</v>
      </c>
      <c r="AA40" s="103">
        <f>SUM(AA38:AA39)</f>
        <v>113362000</v>
      </c>
      <c r="AB40" s="103">
        <f>SUM(AB38:AB39)</f>
        <v>131607000</v>
      </c>
      <c r="AC40" s="103">
        <f>SUM(AC38:AC39)</f>
        <v>18245000</v>
      </c>
      <c r="AK40" t="s">
        <v>168</v>
      </c>
      <c r="AL40" s="103">
        <f>AL37/AL38*AL39</f>
        <v>11015472.385079112</v>
      </c>
      <c r="AM40" t="s">
        <v>242</v>
      </c>
    </row>
    <row r="51" spans="7:19" ht="17" thickBot="1" x14ac:dyDescent="0.25"/>
    <row r="52" spans="7:19" x14ac:dyDescent="0.2">
      <c r="G52" s="124" t="s">
        <v>5</v>
      </c>
      <c r="H52" s="93"/>
      <c r="I52" s="93"/>
      <c r="J52" s="93"/>
      <c r="K52" s="93"/>
      <c r="L52" s="93"/>
      <c r="M52" s="93"/>
      <c r="N52" s="133" t="s">
        <v>142</v>
      </c>
      <c r="O52" s="93"/>
      <c r="P52" s="93"/>
      <c r="Q52" s="93"/>
      <c r="R52" s="93"/>
      <c r="S52" s="94"/>
    </row>
    <row r="53" spans="7:19" x14ac:dyDescent="0.2">
      <c r="G53" s="125" t="s">
        <v>4</v>
      </c>
      <c r="H53" s="4">
        <v>1</v>
      </c>
      <c r="I53" s="4">
        <v>5</v>
      </c>
      <c r="J53" s="4">
        <v>10</v>
      </c>
      <c r="K53" s="4">
        <v>20</v>
      </c>
      <c r="L53" s="4">
        <v>40</v>
      </c>
      <c r="M53" s="4">
        <v>90</v>
      </c>
      <c r="N53" s="125">
        <v>1</v>
      </c>
      <c r="O53" s="4">
        <v>5</v>
      </c>
      <c r="P53" s="4">
        <v>10</v>
      </c>
      <c r="Q53" s="4">
        <v>20</v>
      </c>
      <c r="R53" s="4">
        <v>40</v>
      </c>
      <c r="S53" s="126">
        <v>90</v>
      </c>
    </row>
    <row r="54" spans="7:19" x14ac:dyDescent="0.2">
      <c r="G54" s="95" t="s">
        <v>12</v>
      </c>
      <c r="H54" s="3">
        <v>3215</v>
      </c>
      <c r="I54" s="3">
        <v>1826</v>
      </c>
      <c r="J54" s="3">
        <v>1291</v>
      </c>
      <c r="K54" s="3">
        <v>929</v>
      </c>
      <c r="L54" s="3">
        <v>633</v>
      </c>
      <c r="M54" s="3">
        <v>380</v>
      </c>
      <c r="N54" s="131">
        <f>H54*2/365</f>
        <v>17.616438356164384</v>
      </c>
      <c r="O54" s="127">
        <f t="shared" ref="O54:S58" si="30">I54*2/365</f>
        <v>10.005479452054795</v>
      </c>
      <c r="P54" s="127">
        <f t="shared" si="30"/>
        <v>7.0739726027397261</v>
      </c>
      <c r="Q54" s="127">
        <f t="shared" si="30"/>
        <v>5.0904109589041093</v>
      </c>
      <c r="R54" s="127">
        <f t="shared" si="30"/>
        <v>3.4684931506849317</v>
      </c>
      <c r="S54" s="128">
        <f>M54*2/365</f>
        <v>2.0821917808219177</v>
      </c>
    </row>
    <row r="55" spans="7:19" x14ac:dyDescent="0.2">
      <c r="G55" s="95"/>
      <c r="H55" s="3">
        <v>3245</v>
      </c>
      <c r="I55" s="3">
        <v>1766</v>
      </c>
      <c r="J55" s="3">
        <v>1110</v>
      </c>
      <c r="K55" s="3">
        <v>596</v>
      </c>
      <c r="L55" s="3">
        <v>292</v>
      </c>
      <c r="M55" s="3">
        <v>110</v>
      </c>
      <c r="N55" s="131">
        <f t="shared" ref="N55:N58" si="31">H55*2/365</f>
        <v>17.780821917808218</v>
      </c>
      <c r="O55" s="127">
        <f t="shared" si="30"/>
        <v>9.6767123287671239</v>
      </c>
      <c r="P55" s="127">
        <f t="shared" si="30"/>
        <v>6.0821917808219181</v>
      </c>
      <c r="Q55" s="127">
        <f t="shared" si="30"/>
        <v>3.2657534246575342</v>
      </c>
      <c r="R55" s="127">
        <f t="shared" si="30"/>
        <v>1.6</v>
      </c>
      <c r="S55" s="128">
        <f t="shared" si="30"/>
        <v>0.60273972602739723</v>
      </c>
    </row>
    <row r="56" spans="7:19" x14ac:dyDescent="0.2">
      <c r="G56" s="95"/>
      <c r="H56" s="3">
        <v>3070</v>
      </c>
      <c r="I56" s="3">
        <v>1646</v>
      </c>
      <c r="J56" s="3">
        <v>1044</v>
      </c>
      <c r="K56" s="3">
        <v>582</v>
      </c>
      <c r="L56" s="3">
        <v>314</v>
      </c>
      <c r="M56" s="3">
        <v>158</v>
      </c>
      <c r="N56" s="131">
        <f t="shared" si="31"/>
        <v>16.82191780821918</v>
      </c>
      <c r="O56" s="127">
        <f t="shared" si="30"/>
        <v>9.0191780821917806</v>
      </c>
      <c r="P56" s="127">
        <f t="shared" si="30"/>
        <v>5.720547945205479</v>
      </c>
      <c r="Q56" s="127">
        <f t="shared" si="30"/>
        <v>3.1890410958904107</v>
      </c>
      <c r="R56" s="127">
        <f t="shared" si="30"/>
        <v>1.7205479452054795</v>
      </c>
      <c r="S56" s="128">
        <f t="shared" si="30"/>
        <v>0.86575342465753424</v>
      </c>
    </row>
    <row r="57" spans="7:19" x14ac:dyDescent="0.2">
      <c r="G57" s="95"/>
      <c r="H57" s="3">
        <v>3062</v>
      </c>
      <c r="I57" s="3">
        <v>1512</v>
      </c>
      <c r="J57" s="3">
        <v>905</v>
      </c>
      <c r="K57" s="3">
        <v>472</v>
      </c>
      <c r="L57" s="3">
        <v>233</v>
      </c>
      <c r="M57" s="3">
        <v>111</v>
      </c>
      <c r="N57" s="131">
        <f t="shared" si="31"/>
        <v>16.778082191780822</v>
      </c>
      <c r="O57" s="127">
        <f t="shared" si="30"/>
        <v>8.2849315068493148</v>
      </c>
      <c r="P57" s="127">
        <f t="shared" si="30"/>
        <v>4.9589041095890414</v>
      </c>
      <c r="Q57" s="127">
        <f t="shared" si="30"/>
        <v>2.5863013698630137</v>
      </c>
      <c r="R57" s="127">
        <f t="shared" si="30"/>
        <v>1.2767123287671234</v>
      </c>
      <c r="S57" s="128">
        <f t="shared" si="30"/>
        <v>0.60821917808219184</v>
      </c>
    </row>
    <row r="58" spans="7:19" ht="17" thickBot="1" x14ac:dyDescent="0.25">
      <c r="G58" s="96"/>
      <c r="H58" s="97">
        <v>2825</v>
      </c>
      <c r="I58" s="97">
        <v>1348</v>
      </c>
      <c r="J58" s="97">
        <v>804</v>
      </c>
      <c r="K58" s="97">
        <v>441</v>
      </c>
      <c r="L58" s="97">
        <v>217</v>
      </c>
      <c r="M58" s="97">
        <v>117</v>
      </c>
      <c r="N58" s="132">
        <f t="shared" si="31"/>
        <v>15.479452054794521</v>
      </c>
      <c r="O58" s="129">
        <f t="shared" si="30"/>
        <v>7.3863013698630136</v>
      </c>
      <c r="P58" s="129">
        <f t="shared" si="30"/>
        <v>4.4054794520547942</v>
      </c>
      <c r="Q58" s="129">
        <f t="shared" si="30"/>
        <v>2.4164383561643836</v>
      </c>
      <c r="R58" s="129">
        <f t="shared" si="30"/>
        <v>1.189041095890411</v>
      </c>
      <c r="S58" s="130">
        <f t="shared" si="30"/>
        <v>0.64109589041095894</v>
      </c>
    </row>
  </sheetData>
  <phoneticPr fontId="11" type="noConversion"/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F17DB-453C-4C43-B0F5-0C09D250DC6D}">
  <dimension ref="B1:BF58"/>
  <sheetViews>
    <sheetView topLeftCell="K1" zoomScale="75" zoomScaleNormal="75" workbookViewId="0">
      <selection activeCell="T11" sqref="T11"/>
    </sheetView>
  </sheetViews>
  <sheetFormatPr baseColWidth="10" defaultColWidth="8.83203125" defaultRowHeight="16" x14ac:dyDescent="0.2"/>
  <cols>
    <col min="2" max="2" width="15" customWidth="1"/>
    <col min="3" max="3" width="17.5" customWidth="1"/>
    <col min="4" max="4" width="27.83203125" bestFit="1" customWidth="1"/>
    <col min="5" max="6" width="17.5" customWidth="1"/>
    <col min="7" max="7" width="19.6640625" customWidth="1"/>
    <col min="8" max="8" width="16.1640625" customWidth="1"/>
    <col min="9" max="9" width="12.5" customWidth="1"/>
    <col min="10" max="10" width="17.6640625" customWidth="1"/>
    <col min="11" max="11" width="17.83203125" customWidth="1"/>
    <col min="13" max="13" width="23" customWidth="1"/>
    <col min="14" max="14" width="18.6640625" customWidth="1"/>
    <col min="15" max="15" width="13.83203125" customWidth="1"/>
    <col min="16" max="16" width="13" customWidth="1"/>
    <col min="20" max="20" width="12.5" bestFit="1" customWidth="1"/>
    <col min="21" max="21" width="18.83203125" bestFit="1" customWidth="1"/>
    <col min="22" max="23" width="12.6640625" bestFit="1" customWidth="1"/>
    <col min="24" max="24" width="13.33203125" bestFit="1" customWidth="1"/>
    <col min="25" max="26" width="14.33203125" bestFit="1" customWidth="1"/>
    <col min="27" max="28" width="16" bestFit="1" customWidth="1"/>
    <col min="29" max="29" width="15.1640625" bestFit="1" customWidth="1"/>
    <col min="30" max="30" width="15.6640625" bestFit="1" customWidth="1"/>
    <col min="31" max="32" width="15.5" bestFit="1" customWidth="1"/>
    <col min="33" max="33" width="14.83203125" customWidth="1"/>
    <col min="34" max="34" width="15" bestFit="1" customWidth="1"/>
    <col min="35" max="35" width="18.6640625" bestFit="1" customWidth="1"/>
    <col min="36" max="38" width="15" bestFit="1" customWidth="1"/>
  </cols>
  <sheetData>
    <row r="1" spans="2:58" ht="27" x14ac:dyDescent="0.35">
      <c r="G1" s="28" t="s">
        <v>79</v>
      </c>
      <c r="H1" s="29"/>
      <c r="I1" s="29"/>
      <c r="J1" s="29"/>
      <c r="K1" s="29"/>
      <c r="L1" s="30"/>
      <c r="M1" s="58" t="s">
        <v>80</v>
      </c>
      <c r="N1" s="43"/>
      <c r="O1" s="43"/>
      <c r="P1" s="43"/>
      <c r="Q1" s="43"/>
      <c r="R1" s="44"/>
      <c r="S1" s="58" t="s">
        <v>81</v>
      </c>
      <c r="T1" s="59"/>
      <c r="U1" s="58" t="s">
        <v>91</v>
      </c>
      <c r="V1" s="27" t="e" vm="1">
        <v>#VALUE!</v>
      </c>
      <c r="W1" s="66" cm="1">
        <f t="array" ref="W1">_FV(V1,"Previous close",TRUE)</f>
        <v>1.2850999999999999</v>
      </c>
      <c r="X1" s="59"/>
      <c r="Y1" s="59"/>
      <c r="Z1" s="59"/>
      <c r="AA1" s="83" t="s">
        <v>76</v>
      </c>
      <c r="AB1" s="43" t="s">
        <v>110</v>
      </c>
      <c r="AC1" s="59" t="s">
        <v>111</v>
      </c>
      <c r="AD1" s="99" t="s">
        <v>112</v>
      </c>
      <c r="AE1" s="59"/>
      <c r="AF1" s="43"/>
      <c r="AG1" s="83" t="s">
        <v>77</v>
      </c>
      <c r="AH1" s="115" t="s">
        <v>135</v>
      </c>
      <c r="AI1" s="43"/>
      <c r="AJ1" s="43"/>
      <c r="AK1" s="43" t="s">
        <v>140</v>
      </c>
      <c r="AL1" s="44"/>
      <c r="AM1" s="19" t="s">
        <v>82</v>
      </c>
    </row>
    <row r="2" spans="2:58" x14ac:dyDescent="0.2">
      <c r="G2" s="57" t="s">
        <v>83</v>
      </c>
      <c r="H2" s="8"/>
      <c r="I2" s="8"/>
      <c r="J2" s="8"/>
      <c r="K2" s="8"/>
      <c r="L2" s="31"/>
      <c r="M2" s="56" t="s">
        <v>84</v>
      </c>
      <c r="N2" s="8"/>
      <c r="O2" s="8"/>
      <c r="P2" s="8"/>
      <c r="Q2" s="8"/>
      <c r="R2" s="31"/>
      <c r="S2" s="32" t="s">
        <v>85</v>
      </c>
      <c r="T2" s="18" t="s">
        <v>92</v>
      </c>
      <c r="U2" s="32" t="s">
        <v>84</v>
      </c>
      <c r="V2" s="18"/>
      <c r="W2" s="18"/>
      <c r="X2" s="18"/>
      <c r="Y2" s="18"/>
      <c r="Z2" s="18"/>
      <c r="AA2" s="84" t="s">
        <v>104</v>
      </c>
      <c r="AB2" s="85">
        <v>7.4999999999999997E-2</v>
      </c>
      <c r="AC2" s="85" t="s">
        <v>106</v>
      </c>
      <c r="AD2" s="85">
        <v>20</v>
      </c>
      <c r="AE2" s="18"/>
      <c r="AF2" s="18"/>
      <c r="AG2" s="86" t="s">
        <v>106</v>
      </c>
      <c r="AH2" s="87">
        <f>AD2</f>
        <v>20</v>
      </c>
      <c r="AI2" s="18"/>
      <c r="AJ2" s="18"/>
      <c r="AK2" s="18"/>
      <c r="AL2" s="33"/>
      <c r="AM2" s="19"/>
      <c r="AN2" s="20"/>
      <c r="AO2" s="20"/>
      <c r="AP2" s="20"/>
      <c r="AQ2" s="20"/>
      <c r="AR2" s="20"/>
      <c r="AS2" s="20"/>
      <c r="AT2" s="20"/>
      <c r="AU2" s="21" t="s">
        <v>86</v>
      </c>
      <c r="AV2" s="22"/>
      <c r="AW2" s="22"/>
      <c r="AX2" s="22"/>
      <c r="AY2" s="22"/>
      <c r="AZ2" s="22"/>
      <c r="BA2" s="23" t="s">
        <v>87</v>
      </c>
      <c r="BB2" s="23"/>
      <c r="BC2" s="23"/>
      <c r="BD2" s="23"/>
      <c r="BE2" s="23"/>
      <c r="BF2" s="23"/>
    </row>
    <row r="3" spans="2:58" ht="17" thickBot="1" x14ac:dyDescent="0.25">
      <c r="B3" s="3"/>
      <c r="C3" s="24" t="s">
        <v>8</v>
      </c>
      <c r="D3" s="25" t="s">
        <v>101</v>
      </c>
      <c r="E3" s="25" t="s">
        <v>88</v>
      </c>
      <c r="F3" s="25" t="s">
        <v>95</v>
      </c>
      <c r="G3" s="32">
        <v>1</v>
      </c>
      <c r="H3" s="18">
        <v>5</v>
      </c>
      <c r="I3" s="18">
        <v>10</v>
      </c>
      <c r="J3" s="18">
        <v>20</v>
      </c>
      <c r="K3" s="18">
        <v>40</v>
      </c>
      <c r="L3" s="33">
        <v>90</v>
      </c>
      <c r="M3" s="32">
        <v>1</v>
      </c>
      <c r="N3" s="18">
        <v>5</v>
      </c>
      <c r="O3" s="18">
        <v>10</v>
      </c>
      <c r="P3" s="18">
        <v>20</v>
      </c>
      <c r="Q3" s="18">
        <v>40</v>
      </c>
      <c r="R3" s="33">
        <v>90</v>
      </c>
      <c r="S3" s="54" t="s">
        <v>94</v>
      </c>
      <c r="T3" s="66" t="s">
        <v>93</v>
      </c>
      <c r="U3" s="60">
        <v>1</v>
      </c>
      <c r="V3" s="61">
        <v>5</v>
      </c>
      <c r="W3" s="61">
        <v>10</v>
      </c>
      <c r="X3" s="61">
        <v>20</v>
      </c>
      <c r="Y3" s="61">
        <v>40</v>
      </c>
      <c r="Z3" s="61">
        <v>90</v>
      </c>
      <c r="AA3" s="60">
        <v>1</v>
      </c>
      <c r="AB3" s="61">
        <v>5</v>
      </c>
      <c r="AC3" s="61">
        <v>10</v>
      </c>
      <c r="AD3" s="61">
        <v>20</v>
      </c>
      <c r="AE3" s="61">
        <v>40</v>
      </c>
      <c r="AF3" s="61">
        <v>90</v>
      </c>
      <c r="AG3" s="60">
        <v>1</v>
      </c>
      <c r="AH3" s="61">
        <v>5</v>
      </c>
      <c r="AI3" s="61">
        <v>10</v>
      </c>
      <c r="AJ3" s="61">
        <v>20</v>
      </c>
      <c r="AK3" s="61">
        <v>40</v>
      </c>
      <c r="AL3" s="62">
        <v>90</v>
      </c>
      <c r="AM3" s="20"/>
      <c r="AN3" s="20"/>
      <c r="AO3" s="20"/>
      <c r="AP3" s="20"/>
      <c r="AQ3" s="20"/>
      <c r="AR3" s="20"/>
      <c r="AS3" s="20"/>
      <c r="AT3" s="20"/>
      <c r="AU3" s="22"/>
      <c r="AV3" s="22"/>
      <c r="AW3" s="22"/>
      <c r="AX3" s="22"/>
      <c r="AY3" s="22"/>
      <c r="AZ3" s="22"/>
      <c r="BA3" s="23" t="s">
        <v>89</v>
      </c>
      <c r="BB3" s="23"/>
      <c r="BC3" s="23"/>
      <c r="BD3" s="23"/>
      <c r="BE3" s="23"/>
      <c r="BF3" s="23"/>
    </row>
    <row r="4" spans="2:58" x14ac:dyDescent="0.2">
      <c r="B4" s="26" t="s">
        <v>19</v>
      </c>
      <c r="C4" s="6" t="s">
        <v>9</v>
      </c>
      <c r="D4" s="6">
        <v>1.6596916146774201</v>
      </c>
      <c r="E4" s="6">
        <f>D4*1000</f>
        <v>1659.6916146774201</v>
      </c>
      <c r="F4" s="72">
        <f>D4/(15*25/1000000*365*24)</f>
        <v>0.50523336824274578</v>
      </c>
      <c r="G4" s="34">
        <v>2.3777690494981896E-2</v>
      </c>
      <c r="H4" s="35">
        <v>2.3828914888907302E-2</v>
      </c>
      <c r="I4" s="35">
        <v>2.3801701020303399E-2</v>
      </c>
      <c r="J4" s="35">
        <v>2.4004942046583402E-2</v>
      </c>
      <c r="K4" s="35">
        <v>2.3063300445907903E-2</v>
      </c>
      <c r="L4" s="36">
        <v>2.01427867510117E-2</v>
      </c>
      <c r="M4" s="45">
        <f>$E4*G4</f>
        <v>39.463633530916447</v>
      </c>
      <c r="N4" s="46">
        <f t="shared" ref="N4:R9" si="0">$E4*H4</f>
        <v>39.548650227981376</v>
      </c>
      <c r="O4" s="46">
        <f t="shared" si="0"/>
        <v>39.503483598456548</v>
      </c>
      <c r="P4" s="46">
        <f t="shared" si="0"/>
        <v>39.840801025531903</v>
      </c>
      <c r="Q4" s="46">
        <f t="shared" si="0"/>
        <v>38.277966356859352</v>
      </c>
      <c r="R4" s="47">
        <f t="shared" si="0"/>
        <v>33.430814266889556</v>
      </c>
      <c r="S4" s="54">
        <v>176000</v>
      </c>
      <c r="T4" s="66">
        <f t="shared" ref="T4:T9" si="1">S4*$W$1</f>
        <v>226177.59999999998</v>
      </c>
      <c r="U4" s="64">
        <f>M4*$T4</f>
        <v>8925789.9193022065</v>
      </c>
      <c r="V4" s="68">
        <f t="shared" ref="V4:Z9" si="2">N4*$T4</f>
        <v>8945018.7918042801</v>
      </c>
      <c r="W4" s="68">
        <f t="shared" si="2"/>
        <v>8934803.1119382642</v>
      </c>
      <c r="X4" s="68">
        <f t="shared" si="2"/>
        <v>9011096.7580323443</v>
      </c>
      <c r="Y4" s="68">
        <f t="shared" si="2"/>
        <v>8657618.5634751916</v>
      </c>
      <c r="Z4" s="68">
        <f t="shared" si="2"/>
        <v>7561301.3369308384</v>
      </c>
      <c r="AA4" s="104">
        <f>U4*(1-(1/(1+$AB$2))^$AD$2)/(1-(1/(1+$AB$2)))-AG21</f>
        <v>79573429.821760282</v>
      </c>
      <c r="AB4" s="105">
        <f t="shared" ref="AB4:AF9" si="3">V4*(1-(1/(1+$AB$2))^$AD$2)/(1-(1/(1+$AB$2)))-AH21</f>
        <v>79784160.539422378</v>
      </c>
      <c r="AC4" s="105">
        <f t="shared" si="3"/>
        <v>79672206.104790837</v>
      </c>
      <c r="AD4" s="105">
        <f t="shared" si="3"/>
        <v>80508314.139348224</v>
      </c>
      <c r="AE4" s="105">
        <f t="shared" si="3"/>
        <v>76634518.959266901</v>
      </c>
      <c r="AF4" s="105">
        <f t="shared" si="3"/>
        <v>64619892.729356781</v>
      </c>
      <c r="AG4" s="110">
        <f>U4/AG21</f>
        <v>0.48921841158137608</v>
      </c>
      <c r="AH4" s="106">
        <f t="shared" ref="AH4:AL9" si="4">V4/AH21</f>
        <v>0.49027233717754343</v>
      </c>
      <c r="AI4" s="106">
        <f t="shared" si="4"/>
        <v>0.48971242049538305</v>
      </c>
      <c r="AJ4" s="106">
        <f t="shared" si="4"/>
        <v>0.49389403990311559</v>
      </c>
      <c r="AK4" s="106">
        <f t="shared" si="4"/>
        <v>0.47452006376953637</v>
      </c>
      <c r="AL4" s="107">
        <f t="shared" si="4"/>
        <v>0.41443142433164365</v>
      </c>
      <c r="AM4" s="20"/>
      <c r="AN4" s="20"/>
      <c r="AO4" s="20"/>
      <c r="AP4" s="20"/>
      <c r="AQ4" s="20"/>
      <c r="AR4" s="20"/>
      <c r="AS4" s="20"/>
      <c r="AT4" s="20"/>
      <c r="AU4" s="22"/>
      <c r="AV4" s="22"/>
      <c r="AW4" s="22"/>
      <c r="AX4" s="22"/>
      <c r="AY4" s="22"/>
      <c r="AZ4" s="22"/>
      <c r="BA4" s="23"/>
      <c r="BB4" s="23"/>
      <c r="BC4" s="23"/>
      <c r="BD4" s="23"/>
      <c r="BE4" s="23"/>
      <c r="BF4" s="23"/>
    </row>
    <row r="5" spans="2:58" x14ac:dyDescent="0.2">
      <c r="B5" s="26" t="s">
        <v>1</v>
      </c>
      <c r="C5" s="6" t="s">
        <v>10</v>
      </c>
      <c r="D5" s="6">
        <v>1.90805515968404</v>
      </c>
      <c r="E5" s="6">
        <f t="shared" ref="E5:E9" si="5">D5*1000</f>
        <v>1908.0551596840401</v>
      </c>
      <c r="F5" s="72">
        <f t="shared" ref="F5:F9" si="6">D5/(15*25/1000000*365*24)</f>
        <v>0.58083870918844438</v>
      </c>
      <c r="G5" s="34">
        <v>2.2691132068976397E-2</v>
      </c>
      <c r="H5" s="35">
        <v>2.2778598699548201E-2</v>
      </c>
      <c r="I5" s="35">
        <v>2.2837268033670699E-2</v>
      </c>
      <c r="J5" s="35">
        <v>2.1079076571451499E-2</v>
      </c>
      <c r="K5" s="35">
        <v>1.8966368718234702E-2</v>
      </c>
      <c r="L5" s="36">
        <v>1.7640938214229501E-2</v>
      </c>
      <c r="M5" s="45">
        <f t="shared" ref="M5:M9" si="7">$E5*G5</f>
        <v>43.295931623282399</v>
      </c>
      <c r="N5" s="46">
        <f t="shared" si="0"/>
        <v>43.462822779045112</v>
      </c>
      <c r="O5" s="46">
        <f t="shared" si="0"/>
        <v>43.574767104732771</v>
      </c>
      <c r="P5" s="46">
        <f t="shared" si="0"/>
        <v>40.220040813532997</v>
      </c>
      <c r="Q5" s="46">
        <f t="shared" si="0"/>
        <v>36.188877693297698</v>
      </c>
      <c r="R5" s="47">
        <f t="shared" si="0"/>
        <v>33.659883181327956</v>
      </c>
      <c r="S5" s="54">
        <v>176000</v>
      </c>
      <c r="T5" s="66">
        <f t="shared" si="1"/>
        <v>226177.59999999998</v>
      </c>
      <c r="U5" s="64">
        <f t="shared" ref="U5:U9" si="8">M5*$T5</f>
        <v>9792569.9043181166</v>
      </c>
      <c r="V5" s="68">
        <f t="shared" si="2"/>
        <v>9830316.9453897532</v>
      </c>
      <c r="W5" s="68">
        <f t="shared" si="2"/>
        <v>9855636.2443074062</v>
      </c>
      <c r="X5" s="68">
        <f t="shared" si="2"/>
        <v>9096872.3031069394</v>
      </c>
      <c r="Y5" s="68">
        <f t="shared" si="2"/>
        <v>8185113.5033636084</v>
      </c>
      <c r="Z5" s="68">
        <f t="shared" si="2"/>
        <v>7613111.5942331208</v>
      </c>
      <c r="AA5" s="64">
        <f t="shared" ref="AA5:AA9" si="9">U5*(1-(1/(1+$AB$2))^$AD$2)/(1-(1/(1+$AB$2)))-AG22</f>
        <v>47317539.469392866</v>
      </c>
      <c r="AB5" s="68">
        <f t="shared" si="3"/>
        <v>47731212.244735718</v>
      </c>
      <c r="AC5" s="68">
        <f t="shared" si="3"/>
        <v>48008688.42182529</v>
      </c>
      <c r="AD5" s="68">
        <f t="shared" si="3"/>
        <v>39693335.046423137</v>
      </c>
      <c r="AE5" s="68">
        <f t="shared" si="3"/>
        <v>29701299.050348759</v>
      </c>
      <c r="AF5" s="68">
        <f t="shared" si="3"/>
        <v>23432685.391271323</v>
      </c>
      <c r="AG5" s="110">
        <f t="shared" ref="AG5:AG9" si="10">U5/AG22</f>
        <v>0.16320949840530194</v>
      </c>
      <c r="AH5" s="106">
        <f t="shared" si="4"/>
        <v>0.16383861575649589</v>
      </c>
      <c r="AI5" s="106">
        <f t="shared" si="4"/>
        <v>0.16426060407179011</v>
      </c>
      <c r="AJ5" s="106">
        <f t="shared" si="4"/>
        <v>0.15161453838511565</v>
      </c>
      <c r="AK5" s="106">
        <f t="shared" si="4"/>
        <v>0.13641855838939348</v>
      </c>
      <c r="AL5" s="107">
        <f t="shared" si="4"/>
        <v>0.12688519323721867</v>
      </c>
      <c r="AM5" s="20"/>
      <c r="AN5" s="20"/>
      <c r="AO5" s="20"/>
      <c r="AP5" s="20"/>
      <c r="AQ5" s="20"/>
      <c r="AR5" s="20"/>
      <c r="AS5" s="20"/>
      <c r="AT5" s="20"/>
      <c r="AU5" s="22"/>
      <c r="AV5" s="22"/>
      <c r="AW5" s="22"/>
      <c r="AX5" s="22"/>
      <c r="AY5" s="22"/>
      <c r="AZ5" s="22"/>
      <c r="BA5" s="23"/>
      <c r="BB5" s="23"/>
      <c r="BC5" s="23"/>
      <c r="BD5" s="23"/>
      <c r="BE5" s="23"/>
      <c r="BF5" s="23"/>
    </row>
    <row r="6" spans="2:58" x14ac:dyDescent="0.2">
      <c r="B6" s="26" t="s">
        <v>0</v>
      </c>
      <c r="C6" s="6" t="s">
        <v>14</v>
      </c>
      <c r="D6" s="6">
        <v>2.2514664777486302</v>
      </c>
      <c r="E6" s="6">
        <f t="shared" si="5"/>
        <v>2251.46647774863</v>
      </c>
      <c r="F6" s="72">
        <f t="shared" si="6"/>
        <v>0.68537792321115076</v>
      </c>
      <c r="G6" s="34">
        <v>1.60494705205966E-2</v>
      </c>
      <c r="H6" s="35">
        <v>1.3441060978481101E-2</v>
      </c>
      <c r="I6" s="35">
        <v>1.09279275487812E-2</v>
      </c>
      <c r="J6" s="35">
        <v>2.5342966838680495E-3</v>
      </c>
      <c r="K6" s="35">
        <v>1.0720150038108899E-3</v>
      </c>
      <c r="L6" s="37">
        <v>-2.9798649364755899E-2</v>
      </c>
      <c r="M6" s="45">
        <f t="shared" si="7"/>
        <v>36.134844862738099</v>
      </c>
      <c r="N6" s="46">
        <f t="shared" si="0"/>
        <v>30.2620982184254</v>
      </c>
      <c r="O6" s="46">
        <f t="shared" si="0"/>
        <v>24.60386254734663</v>
      </c>
      <c r="P6" s="46">
        <f t="shared" si="0"/>
        <v>5.7058840283984305</v>
      </c>
      <c r="Q6" s="46">
        <f t="shared" si="0"/>
        <v>2.4136058447237887</v>
      </c>
      <c r="R6" s="48">
        <f t="shared" si="0"/>
        <v>-67.090660126933415</v>
      </c>
      <c r="S6" s="54">
        <v>176000</v>
      </c>
      <c r="T6" s="66">
        <f t="shared" si="1"/>
        <v>226177.59999999998</v>
      </c>
      <c r="U6" s="64">
        <f t="shared" si="8"/>
        <v>8172892.4874264318</v>
      </c>
      <c r="V6" s="68">
        <f t="shared" si="2"/>
        <v>6844608.7460077321</v>
      </c>
      <c r="W6" s="68">
        <f t="shared" si="2"/>
        <v>5564842.5816887468</v>
      </c>
      <c r="X6" s="68">
        <f t="shared" si="2"/>
        <v>1290543.1554214887</v>
      </c>
      <c r="Y6" s="68">
        <f t="shared" si="2"/>
        <v>545903.57730559912</v>
      </c>
      <c r="Z6" s="70">
        <f t="shared" si="2"/>
        <v>-15174404.489925494</v>
      </c>
      <c r="AA6" s="64">
        <f t="shared" si="9"/>
        <v>29567367.980873764</v>
      </c>
      <c r="AB6" s="68">
        <f t="shared" si="3"/>
        <v>15010602.572092116</v>
      </c>
      <c r="AC6" s="68">
        <f t="shared" si="3"/>
        <v>985545.08536083996</v>
      </c>
      <c r="AD6" s="68">
        <f t="shared" si="3"/>
        <v>-45856836.624895722</v>
      </c>
      <c r="AE6" s="68">
        <f t="shared" si="3"/>
        <v>-54017400.000571571</v>
      </c>
      <c r="AF6" s="68">
        <f t="shared" si="3"/>
        <v>-226297485.61243555</v>
      </c>
      <c r="AG6" s="110">
        <f t="shared" si="10"/>
        <v>0.13621487479044053</v>
      </c>
      <c r="AH6" s="106">
        <f t="shared" si="4"/>
        <v>0.1140768124334622</v>
      </c>
      <c r="AI6" s="106">
        <f t="shared" si="4"/>
        <v>9.2747376361479117E-2</v>
      </c>
      <c r="AJ6" s="106">
        <f t="shared" si="4"/>
        <v>2.1509052590358145E-2</v>
      </c>
      <c r="AK6" s="106">
        <f t="shared" si="4"/>
        <v>9.098392955093319E-3</v>
      </c>
      <c r="AL6" s="107">
        <f t="shared" si="4"/>
        <v>-0.25290674149875825</v>
      </c>
      <c r="AM6" s="20"/>
      <c r="AN6" s="20"/>
      <c r="AO6" s="20"/>
      <c r="AP6" s="20"/>
      <c r="AQ6" s="20"/>
      <c r="AR6" s="20"/>
      <c r="AS6" s="20"/>
      <c r="AT6" s="20"/>
      <c r="AU6" s="22"/>
      <c r="AV6" s="22"/>
      <c r="AW6" s="22"/>
      <c r="AX6" s="22"/>
      <c r="AY6" s="22"/>
      <c r="AZ6" s="22"/>
      <c r="BA6" s="23"/>
      <c r="BB6" s="23"/>
      <c r="BC6" s="23"/>
      <c r="BD6" s="23"/>
      <c r="BE6" s="23"/>
      <c r="BF6" s="23"/>
    </row>
    <row r="7" spans="2:58" x14ac:dyDescent="0.2">
      <c r="B7" s="26" t="s">
        <v>40</v>
      </c>
      <c r="C7" s="6" t="s">
        <v>90</v>
      </c>
      <c r="D7" s="6">
        <v>1.9059222661658799</v>
      </c>
      <c r="E7" s="6">
        <f t="shared" si="5"/>
        <v>1905.9222661658798</v>
      </c>
      <c r="F7" s="72">
        <f t="shared" si="6"/>
        <v>0.58018942653451444</v>
      </c>
      <c r="G7" s="34">
        <v>1.37701972482862E-2</v>
      </c>
      <c r="H7" s="35">
        <v>1.3488226944517401E-2</v>
      </c>
      <c r="I7" s="35">
        <v>1.34828295682728E-2</v>
      </c>
      <c r="J7" s="35">
        <v>1.30192302941773E-2</v>
      </c>
      <c r="K7" s="38">
        <v>-1.14023707851883E-2</v>
      </c>
      <c r="L7" s="37">
        <v>-1.31570348227396E-2</v>
      </c>
      <c r="M7" s="45">
        <f t="shared" si="7"/>
        <v>26.244925545004797</v>
      </c>
      <c r="N7" s="46">
        <f t="shared" si="0"/>
        <v>25.707512064654285</v>
      </c>
      <c r="O7" s="46">
        <f t="shared" si="0"/>
        <v>25.697225085090828</v>
      </c>
      <c r="P7" s="46">
        <f t="shared" si="0"/>
        <v>24.813640906013873</v>
      </c>
      <c r="Q7" s="49">
        <f t="shared" si="0"/>
        <v>-21.732032366569708</v>
      </c>
      <c r="R7" s="48">
        <f t="shared" si="0"/>
        <v>-25.076285625379253</v>
      </c>
      <c r="S7" s="54">
        <v>176000</v>
      </c>
      <c r="T7" s="66">
        <f t="shared" si="1"/>
        <v>226177.59999999998</v>
      </c>
      <c r="U7" s="64">
        <f t="shared" si="8"/>
        <v>5936014.2719478766</v>
      </c>
      <c r="V7" s="68">
        <f t="shared" si="2"/>
        <v>5814463.38075455</v>
      </c>
      <c r="W7" s="68">
        <f t="shared" si="2"/>
        <v>5812136.6964056389</v>
      </c>
      <c r="X7" s="68">
        <f t="shared" si="2"/>
        <v>5612289.7473840425</v>
      </c>
      <c r="Y7" s="70">
        <f t="shared" si="2"/>
        <v>-4915298.923793056</v>
      </c>
      <c r="Z7" s="70">
        <f t="shared" si="2"/>
        <v>-5671694.099662778</v>
      </c>
      <c r="AA7" s="64">
        <f t="shared" si="9"/>
        <v>5053244.6686684415</v>
      </c>
      <c r="AB7" s="68">
        <f t="shared" si="3"/>
        <v>3721158.9454480708</v>
      </c>
      <c r="AC7" s="68">
        <f t="shared" si="3"/>
        <v>3695660.6296957433</v>
      </c>
      <c r="AD7" s="68">
        <f t="shared" si="3"/>
        <v>1505522.285112083</v>
      </c>
      <c r="AE7" s="68">
        <f t="shared" si="3"/>
        <v>-113867145.33693764</v>
      </c>
      <c r="AF7" s="68">
        <f t="shared" si="3"/>
        <v>-122156539.22781634</v>
      </c>
      <c r="AG7" s="110">
        <f t="shared" si="10"/>
        <v>9.8933571199131279E-2</v>
      </c>
      <c r="AH7" s="106">
        <f t="shared" si="4"/>
        <v>9.690772301257583E-2</v>
      </c>
      <c r="AI7" s="106">
        <f t="shared" si="4"/>
        <v>9.6868944940093987E-2</v>
      </c>
      <c r="AJ7" s="106">
        <f t="shared" si="4"/>
        <v>9.3538162456400703E-2</v>
      </c>
      <c r="AK7" s="106">
        <f t="shared" si="4"/>
        <v>-8.1921648729884264E-2</v>
      </c>
      <c r="AL7" s="107">
        <f t="shared" si="4"/>
        <v>-9.4528234994379637E-2</v>
      </c>
      <c r="AM7" s="20"/>
      <c r="AN7" s="20"/>
      <c r="AO7" s="20"/>
      <c r="AP7" s="20"/>
      <c r="AQ7" s="20"/>
      <c r="AR7" s="20"/>
      <c r="AS7" s="20"/>
      <c r="AT7" s="20"/>
      <c r="AU7" s="22"/>
      <c r="AV7" s="22"/>
      <c r="AW7" s="22"/>
      <c r="AX7" s="22"/>
      <c r="AY7" s="22"/>
      <c r="AZ7" s="22"/>
      <c r="BA7" s="23"/>
      <c r="BB7" s="23"/>
      <c r="BC7" s="23"/>
      <c r="BD7" s="23"/>
      <c r="BE7" s="23"/>
      <c r="BF7" s="23"/>
    </row>
    <row r="8" spans="2:58" x14ac:dyDescent="0.2">
      <c r="B8" s="26" t="s">
        <v>2</v>
      </c>
      <c r="C8" s="6" t="s">
        <v>13</v>
      </c>
      <c r="D8" s="6">
        <v>1.7732180661340899</v>
      </c>
      <c r="E8" s="6">
        <f t="shared" si="5"/>
        <v>1773.2180661340899</v>
      </c>
      <c r="F8" s="72">
        <f t="shared" si="6"/>
        <v>0.53979240978206688</v>
      </c>
      <c r="G8" s="34">
        <v>1.1648024653615401E-2</v>
      </c>
      <c r="H8" s="35">
        <v>1.14133932355299E-2</v>
      </c>
      <c r="I8" s="35">
        <v>1.1043722041064701E-2</v>
      </c>
      <c r="J8" s="35">
        <v>8.9582249234933797E-3</v>
      </c>
      <c r="K8" s="38">
        <v>-7.9958758766205798E-2</v>
      </c>
      <c r="L8" s="37">
        <v>-7.9204073389645704E-2</v>
      </c>
      <c r="M8" s="45">
        <f t="shared" si="7"/>
        <v>20.654487750566105</v>
      </c>
      <c r="N8" s="46">
        <f t="shared" si="0"/>
        <v>20.238435081134234</v>
      </c>
      <c r="O8" s="46">
        <f t="shared" si="0"/>
        <v>19.582927440579173</v>
      </c>
      <c r="P8" s="46">
        <f t="shared" si="0"/>
        <v>15.884886274831135</v>
      </c>
      <c r="Q8" s="49">
        <f t="shared" si="0"/>
        <v>-141.78431558989365</v>
      </c>
      <c r="R8" s="48">
        <f t="shared" si="0"/>
        <v>-140.44609384593008</v>
      </c>
      <c r="S8" s="54">
        <v>176000</v>
      </c>
      <c r="T8" s="66">
        <f t="shared" si="1"/>
        <v>226177.59999999998</v>
      </c>
      <c r="U8" s="64">
        <f t="shared" si="8"/>
        <v>4671582.4686524393</v>
      </c>
      <c r="V8" s="68">
        <f t="shared" si="2"/>
        <v>4577480.6744067464</v>
      </c>
      <c r="W8" s="68">
        <f t="shared" si="2"/>
        <v>4429219.5294843391</v>
      </c>
      <c r="X8" s="68">
        <f t="shared" si="2"/>
        <v>3592805.4539142461</v>
      </c>
      <c r="Y8" s="70">
        <f t="shared" si="2"/>
        <v>-32068436.217764728</v>
      </c>
      <c r="Z8" s="70">
        <f t="shared" si="2"/>
        <v>-31765760.435447231</v>
      </c>
      <c r="AA8" s="64">
        <f t="shared" si="9"/>
        <v>-8803762.3562880531</v>
      </c>
      <c r="AB8" s="68">
        <f t="shared" si="3"/>
        <v>-9835031.2792343795</v>
      </c>
      <c r="AC8" s="68">
        <f t="shared" si="3"/>
        <v>-11459836.762110919</v>
      </c>
      <c r="AD8" s="68">
        <f t="shared" si="3"/>
        <v>-20626164.033174656</v>
      </c>
      <c r="AE8" s="68">
        <f t="shared" si="3"/>
        <v>-411440500.61915952</v>
      </c>
      <c r="AF8" s="68">
        <f t="shared" si="3"/>
        <v>-408123453.04812676</v>
      </c>
      <c r="AG8" s="110">
        <f t="shared" si="10"/>
        <v>7.7859707810873993E-2</v>
      </c>
      <c r="AH8" s="106">
        <f t="shared" si="4"/>
        <v>7.6291344573445774E-2</v>
      </c>
      <c r="AI8" s="106">
        <f t="shared" si="4"/>
        <v>7.3820325491405644E-2</v>
      </c>
      <c r="AJ8" s="106">
        <f t="shared" si="4"/>
        <v>5.988009089857077E-2</v>
      </c>
      <c r="AK8" s="106">
        <f t="shared" si="4"/>
        <v>-0.53447393696274548</v>
      </c>
      <c r="AL8" s="107">
        <f t="shared" si="4"/>
        <v>-0.52942934059078717</v>
      </c>
      <c r="AM8" s="20"/>
      <c r="AN8" s="20"/>
      <c r="AO8" s="20"/>
      <c r="AP8" s="20"/>
      <c r="AQ8" s="20"/>
      <c r="AR8" s="20"/>
      <c r="AS8" s="20"/>
      <c r="AT8" s="20"/>
      <c r="AU8" s="22"/>
      <c r="AV8" s="22"/>
      <c r="AW8" s="22"/>
      <c r="AX8" s="22"/>
      <c r="AY8" s="22"/>
      <c r="AZ8" s="22"/>
      <c r="BA8" s="23"/>
      <c r="BB8" s="23"/>
      <c r="BC8" s="23"/>
      <c r="BD8" s="23"/>
      <c r="BE8" s="23"/>
      <c r="BF8" s="23"/>
    </row>
    <row r="9" spans="2:58" ht="17" thickBot="1" x14ac:dyDescent="0.25">
      <c r="B9" s="26" t="s">
        <v>3</v>
      </c>
      <c r="C9" s="6" t="s">
        <v>15</v>
      </c>
      <c r="D9" s="6">
        <v>2.2404575039568799</v>
      </c>
      <c r="E9" s="6">
        <f t="shared" si="5"/>
        <v>2240.4575039568799</v>
      </c>
      <c r="F9" s="72">
        <f t="shared" si="6"/>
        <v>0.68202663742979597</v>
      </c>
      <c r="G9" s="39">
        <v>5.4763157878435394E-3</v>
      </c>
      <c r="H9" s="40">
        <v>4.8156961501199099E-3</v>
      </c>
      <c r="I9" s="40">
        <v>4.8903637676298399E-3</v>
      </c>
      <c r="J9" s="41">
        <v>-1.27625488515937E-2</v>
      </c>
      <c r="K9" s="41">
        <v>-8.6788619208643697E-2</v>
      </c>
      <c r="L9" s="42">
        <v>-8.2549350383316802E-2</v>
      </c>
      <c r="M9" s="50">
        <f t="shared" si="7"/>
        <v>12.269452800911591</v>
      </c>
      <c r="N9" s="51">
        <f t="shared" si="0"/>
        <v>10.78936257631241</v>
      </c>
      <c r="O9" s="51">
        <f t="shared" si="0"/>
        <v>10.956652200265115</v>
      </c>
      <c r="P9" s="52">
        <f t="shared" si="0"/>
        <v>-28.593948344169366</v>
      </c>
      <c r="Q9" s="52">
        <f t="shared" si="0"/>
        <v>-194.44621316406199</v>
      </c>
      <c r="R9" s="53">
        <f t="shared" si="0"/>
        <v>-184.94831151306786</v>
      </c>
      <c r="S9" s="54">
        <v>176000</v>
      </c>
      <c r="T9" s="67">
        <f t="shared" si="1"/>
        <v>226177.59999999998</v>
      </c>
      <c r="U9" s="65">
        <f t="shared" si="8"/>
        <v>2775075.3878234611</v>
      </c>
      <c r="V9" s="69">
        <f t="shared" si="2"/>
        <v>2440312.1330401576</v>
      </c>
      <c r="W9" s="69">
        <f t="shared" si="2"/>
        <v>2478149.2986906827</v>
      </c>
      <c r="X9" s="71">
        <f t="shared" si="2"/>
        <v>-6467310.6110082008</v>
      </c>
      <c r="Y9" s="71">
        <f t="shared" si="2"/>
        <v>-43979377.82253594</v>
      </c>
      <c r="Z9" s="71">
        <f t="shared" si="2"/>
        <v>-41831165.222078055</v>
      </c>
      <c r="AA9" s="65">
        <f t="shared" si="9"/>
        <v>-29587731.783057146</v>
      </c>
      <c r="AB9" s="69">
        <f t="shared" si="3"/>
        <v>-33256428.474440243</v>
      </c>
      <c r="AC9" s="69">
        <f t="shared" si="3"/>
        <v>-32841768.016788609</v>
      </c>
      <c r="AD9" s="69">
        <f t="shared" si="3"/>
        <v>-130875762.80171828</v>
      </c>
      <c r="AE9" s="69">
        <f t="shared" si="3"/>
        <v>-541973441.23406506</v>
      </c>
      <c r="AF9" s="69">
        <f t="shared" si="3"/>
        <v>-518431011.33150935</v>
      </c>
      <c r="AG9" s="110">
        <f t="shared" si="10"/>
        <v>4.6251256463724348E-2</v>
      </c>
      <c r="AH9" s="106">
        <f t="shared" si="4"/>
        <v>4.0671868884002628E-2</v>
      </c>
      <c r="AI9" s="106">
        <f t="shared" si="4"/>
        <v>4.1302488311511378E-2</v>
      </c>
      <c r="AJ9" s="106">
        <f t="shared" si="4"/>
        <v>-0.10778851018347001</v>
      </c>
      <c r="AK9" s="106">
        <f t="shared" si="4"/>
        <v>-0.73298963037559894</v>
      </c>
      <c r="AL9" s="107">
        <f t="shared" si="4"/>
        <v>-0.69718608703463425</v>
      </c>
    </row>
    <row r="10" spans="2:58" x14ac:dyDescent="0.2">
      <c r="AA10" s="74" t="s">
        <v>103</v>
      </c>
      <c r="AB10" s="75"/>
      <c r="AC10" s="75"/>
      <c r="AD10" s="75"/>
      <c r="AE10" s="75"/>
      <c r="AF10" s="75"/>
      <c r="AG10" s="118" t="s">
        <v>136</v>
      </c>
      <c r="AH10" s="29" t="s">
        <v>137</v>
      </c>
      <c r="AI10" s="29"/>
      <c r="AJ10" s="29"/>
      <c r="AK10" s="29"/>
      <c r="AL10" s="30"/>
    </row>
    <row r="11" spans="2:58" x14ac:dyDescent="0.2">
      <c r="W11" t="s">
        <v>138</v>
      </c>
      <c r="AA11" s="60" t="s">
        <v>105</v>
      </c>
      <c r="AB11" s="61">
        <v>0.03</v>
      </c>
      <c r="AC11" s="85" t="s">
        <v>106</v>
      </c>
      <c r="AD11" s="85">
        <f>AD2</f>
        <v>20</v>
      </c>
      <c r="AE11" s="61"/>
      <c r="AF11" s="61"/>
      <c r="AG11" s="54"/>
      <c r="AH11" s="27"/>
      <c r="AI11" s="27"/>
      <c r="AJ11" s="27"/>
      <c r="AK11" s="27"/>
      <c r="AL11" s="119"/>
    </row>
    <row r="12" spans="2:58" x14ac:dyDescent="0.2">
      <c r="W12" t="s">
        <v>139</v>
      </c>
      <c r="AA12" s="60">
        <v>1</v>
      </c>
      <c r="AB12" s="61">
        <v>5</v>
      </c>
      <c r="AC12" s="61">
        <v>10</v>
      </c>
      <c r="AD12" s="61">
        <v>20</v>
      </c>
      <c r="AE12" s="61">
        <v>40</v>
      </c>
      <c r="AF12" s="61">
        <v>90</v>
      </c>
      <c r="AG12" s="60">
        <v>1</v>
      </c>
      <c r="AH12" s="61">
        <v>5</v>
      </c>
      <c r="AI12" s="61">
        <v>10</v>
      </c>
      <c r="AJ12" s="61">
        <v>20</v>
      </c>
      <c r="AK12" s="61">
        <v>40</v>
      </c>
      <c r="AL12" s="62">
        <v>90</v>
      </c>
    </row>
    <row r="13" spans="2:58" ht="17" thickBot="1" x14ac:dyDescent="0.25">
      <c r="Z13" s="26" t="s">
        <v>19</v>
      </c>
      <c r="AA13" s="77">
        <f>((U4/(1+$AB$2)^$AD$11)+AG21)*(1+$AB$11)^$AD$11</f>
        <v>36747587.644921869</v>
      </c>
      <c r="AB13" s="78">
        <f t="shared" ref="AB13:AF18" si="11">((V4/(1+$AB$2)^$AD$11)+AH21)*(1+$AB$11)^$AD$11</f>
        <v>36755763.421764433</v>
      </c>
      <c r="AC13" s="78">
        <f t="shared" si="11"/>
        <v>36751419.895181134</v>
      </c>
      <c r="AD13" s="78">
        <f t="shared" si="11"/>
        <v>36783858.605506144</v>
      </c>
      <c r="AE13" s="78">
        <f t="shared" si="11"/>
        <v>36633565.922609515</v>
      </c>
      <c r="AF13" s="78">
        <f t="shared" si="11"/>
        <v>36167431.208162501</v>
      </c>
      <c r="AG13" s="141">
        <f>IF(AG21/U4&gt;0,AG21/U4,"nan")</f>
        <v>2.0440767892760738</v>
      </c>
      <c r="AH13" s="122">
        <f t="shared" ref="AH13:AL18" si="12">IF(AH21/V4&gt;0,AH21/V4,"nan")</f>
        <v>2.0396826909650172</v>
      </c>
      <c r="AI13" s="122">
        <f t="shared" si="12"/>
        <v>2.0420147787724487</v>
      </c>
      <c r="AJ13" s="122">
        <f t="shared" si="12"/>
        <v>2.0247257897587998</v>
      </c>
      <c r="AK13" s="122">
        <f t="shared" si="12"/>
        <v>2.1073924505027404</v>
      </c>
      <c r="AL13" s="120">
        <f t="shared" si="12"/>
        <v>2.4129444373401623</v>
      </c>
    </row>
    <row r="14" spans="2:58" ht="17" thickBot="1" x14ac:dyDescent="0.25">
      <c r="D14" s="91"/>
      <c r="E14" s="151" t="s">
        <v>45</v>
      </c>
      <c r="F14" s="151"/>
      <c r="G14" s="151" t="s">
        <v>44</v>
      </c>
      <c r="H14" s="151" t="s">
        <v>59</v>
      </c>
      <c r="I14" s="151" t="s">
        <v>41</v>
      </c>
      <c r="J14" s="151" t="s">
        <v>60</v>
      </c>
      <c r="K14" s="151" t="s">
        <v>61</v>
      </c>
      <c r="L14" s="151" t="s">
        <v>69</v>
      </c>
      <c r="M14" s="151" t="s">
        <v>52</v>
      </c>
      <c r="N14" s="151" t="s">
        <v>78</v>
      </c>
      <c r="O14" s="151" t="s">
        <v>64</v>
      </c>
      <c r="P14" s="151" t="s">
        <v>63</v>
      </c>
      <c r="Q14" s="152" t="s">
        <v>62</v>
      </c>
      <c r="Z14" s="26" t="s">
        <v>1</v>
      </c>
      <c r="AA14" s="77">
        <f t="shared" ref="AA14:AA18" si="13">((U5/(1+$AB$2)^$AD$11)+AG22)*(1+$AB$11)^$AD$11</f>
        <v>112530301.78347082</v>
      </c>
      <c r="AB14" s="78">
        <f t="shared" si="11"/>
        <v>112546351.15840092</v>
      </c>
      <c r="AC14" s="78">
        <f t="shared" si="11"/>
        <v>112557116.47694671</v>
      </c>
      <c r="AD14" s="78">
        <f t="shared" si="11"/>
        <v>112234503.45536809</v>
      </c>
      <c r="AE14" s="78">
        <f t="shared" si="11"/>
        <v>111846839.72312652</v>
      </c>
      <c r="AF14" s="78">
        <f t="shared" si="11"/>
        <v>111603634.61777931</v>
      </c>
      <c r="AG14" s="141">
        <f t="shared" ref="AG14:AG18" si="14">IF(AG22/U5&gt;0,AG22/U5,"nan")</f>
        <v>6.1270943772933899</v>
      </c>
      <c r="AH14" s="122">
        <f t="shared" si="12"/>
        <v>6.1035671925246469</v>
      </c>
      <c r="AI14" s="122">
        <f t="shared" si="12"/>
        <v>6.0878870234943854</v>
      </c>
      <c r="AJ14" s="122">
        <f t="shared" si="12"/>
        <v>6.5956735458963891</v>
      </c>
      <c r="AK14" s="122">
        <f t="shared" si="12"/>
        <v>7.3303809379483216</v>
      </c>
      <c r="AL14" s="120">
        <f t="shared" si="12"/>
        <v>7.8811402220150804</v>
      </c>
    </row>
    <row r="15" spans="2:58" x14ac:dyDescent="0.2">
      <c r="D15" s="91"/>
      <c r="E15" t="s">
        <v>46</v>
      </c>
      <c r="G15" s="3" t="s">
        <v>42</v>
      </c>
      <c r="H15" s="135"/>
      <c r="I15" t="s">
        <v>65</v>
      </c>
      <c r="J15" s="135"/>
      <c r="K15" t="s">
        <v>65</v>
      </c>
      <c r="L15">
        <v>6</v>
      </c>
      <c r="M15" t="s">
        <v>71</v>
      </c>
      <c r="N15" t="s">
        <v>224</v>
      </c>
      <c r="O15" t="s">
        <v>229</v>
      </c>
      <c r="P15" t="s">
        <v>222</v>
      </c>
      <c r="Q15" s="91" t="s">
        <v>223</v>
      </c>
      <c r="Z15" s="26" t="s">
        <v>0</v>
      </c>
      <c r="AA15" s="77">
        <f t="shared" si="13"/>
        <v>111841643.56307705</v>
      </c>
      <c r="AB15" s="78">
        <f t="shared" si="11"/>
        <v>111276880.78500557</v>
      </c>
      <c r="AC15" s="78">
        <f t="shared" si="11"/>
        <v>110732746.82348414</v>
      </c>
      <c r="AD15" s="78">
        <f t="shared" si="11"/>
        <v>108915390.22788976</v>
      </c>
      <c r="AE15" s="78">
        <f t="shared" si="11"/>
        <v>108598782.63593842</v>
      </c>
      <c r="AF15" s="78">
        <f t="shared" si="11"/>
        <v>101914785.39999667</v>
      </c>
      <c r="AG15" s="141">
        <f t="shared" si="14"/>
        <v>7.3413421371083576</v>
      </c>
      <c r="AH15" s="122">
        <f t="shared" si="12"/>
        <v>8.7660233369798259</v>
      </c>
      <c r="AI15" s="122">
        <f t="shared" si="12"/>
        <v>10.78197615102923</v>
      </c>
      <c r="AJ15" s="122">
        <f t="shared" si="12"/>
        <v>46.492052395105013</v>
      </c>
      <c r="AK15" s="122">
        <f t="shared" si="12"/>
        <v>109.9095197289974</v>
      </c>
      <c r="AL15" s="120" t="str">
        <f t="shared" si="12"/>
        <v>nan</v>
      </c>
    </row>
    <row r="16" spans="2:58" x14ac:dyDescent="0.2">
      <c r="D16" s="91"/>
      <c r="G16" s="15" t="s">
        <v>43</v>
      </c>
      <c r="H16" t="s">
        <v>219</v>
      </c>
      <c r="I16" t="s">
        <v>57</v>
      </c>
      <c r="J16" t="s">
        <v>221</v>
      </c>
      <c r="K16" t="s">
        <v>57</v>
      </c>
      <c r="L16">
        <v>7</v>
      </c>
      <c r="M16" t="s">
        <v>153</v>
      </c>
      <c r="N16" t="s">
        <v>220</v>
      </c>
      <c r="O16" s="135"/>
      <c r="P16" t="s">
        <v>71</v>
      </c>
      <c r="Q16" s="91" t="s">
        <v>225</v>
      </c>
      <c r="Z16" s="26" t="s">
        <v>40</v>
      </c>
      <c r="AA16" s="77">
        <f t="shared" si="13"/>
        <v>110890562.46813573</v>
      </c>
      <c r="AB16" s="78">
        <f t="shared" si="11"/>
        <v>110838881.17682211</v>
      </c>
      <c r="AC16" s="78">
        <f t="shared" si="11"/>
        <v>110837891.91174597</v>
      </c>
      <c r="AD16" s="78">
        <f t="shared" si="11"/>
        <v>110752920.52001756</v>
      </c>
      <c r="AE16" s="78">
        <f t="shared" si="11"/>
        <v>106276775.82372133</v>
      </c>
      <c r="AF16" s="78">
        <f t="shared" si="11"/>
        <v>105955169.95930883</v>
      </c>
      <c r="AG16" s="141">
        <f t="shared" si="14"/>
        <v>10.107792409385713</v>
      </c>
      <c r="AH16" s="122">
        <f t="shared" si="12"/>
        <v>10.319094999995292</v>
      </c>
      <c r="AI16" s="122">
        <f t="shared" si="12"/>
        <v>10.323225886463648</v>
      </c>
      <c r="AJ16" s="122">
        <f t="shared" si="12"/>
        <v>10.690823656773377</v>
      </c>
      <c r="AK16" s="122" t="str">
        <f t="shared" si="12"/>
        <v>nan</v>
      </c>
      <c r="AL16" s="120" t="str">
        <f t="shared" si="12"/>
        <v>nan</v>
      </c>
    </row>
    <row r="17" spans="4:38" x14ac:dyDescent="0.2">
      <c r="D17" s="91"/>
      <c r="Q17" s="91"/>
      <c r="Z17" s="26" t="s">
        <v>2</v>
      </c>
      <c r="AA17" s="77">
        <f t="shared" si="13"/>
        <v>110352948.40598635</v>
      </c>
      <c r="AB17" s="78">
        <f t="shared" si="11"/>
        <v>110312937.98571053</v>
      </c>
      <c r="AC17" s="78">
        <f t="shared" si="11"/>
        <v>110249899.96644139</v>
      </c>
      <c r="AD17" s="78">
        <f t="shared" si="11"/>
        <v>109894271.47969012</v>
      </c>
      <c r="AE17" s="78">
        <f t="shared" si="11"/>
        <v>94731741.601499498</v>
      </c>
      <c r="AF17" s="78">
        <f t="shared" si="11"/>
        <v>94860433.996314183</v>
      </c>
      <c r="AG17" s="141">
        <f t="shared" si="14"/>
        <v>12.843613572620404</v>
      </c>
      <c r="AH17" s="122">
        <f t="shared" si="12"/>
        <v>13.107646818798674</v>
      </c>
      <c r="AI17" s="122">
        <f t="shared" si="12"/>
        <v>13.546404643209309</v>
      </c>
      <c r="AJ17" s="122">
        <f t="shared" si="12"/>
        <v>16.700041449400477</v>
      </c>
      <c r="AK17" s="122" t="str">
        <f t="shared" si="12"/>
        <v>nan</v>
      </c>
      <c r="AL17" s="120" t="str">
        <f t="shared" si="12"/>
        <v>nan</v>
      </c>
    </row>
    <row r="18" spans="4:38" ht="17" thickBot="1" x14ac:dyDescent="0.25">
      <c r="D18" s="91"/>
      <c r="E18" t="s">
        <v>50</v>
      </c>
      <c r="G18" s="3" t="s">
        <v>51</v>
      </c>
      <c r="H18" t="s">
        <v>226</v>
      </c>
      <c r="I18" t="s">
        <v>65</v>
      </c>
      <c r="J18" s="135" t="s">
        <v>227</v>
      </c>
      <c r="K18" t="s">
        <v>65</v>
      </c>
      <c r="L18">
        <v>7</v>
      </c>
      <c r="M18" t="s">
        <v>71</v>
      </c>
      <c r="N18" s="135" t="s">
        <v>228</v>
      </c>
      <c r="O18" t="s">
        <v>71</v>
      </c>
      <c r="P18" t="s">
        <v>229</v>
      </c>
      <c r="Q18" s="153"/>
      <c r="Z18" s="26" t="s">
        <v>3</v>
      </c>
      <c r="AA18" s="80">
        <f t="shared" si="13"/>
        <v>109546587.10365105</v>
      </c>
      <c r="AB18" s="81">
        <f t="shared" si="11"/>
        <v>109404251.68248136</v>
      </c>
      <c r="AC18" s="81">
        <f t="shared" si="11"/>
        <v>109420339.37679006</v>
      </c>
      <c r="AD18" s="81">
        <f t="shared" si="11"/>
        <v>105616887.87603417</v>
      </c>
      <c r="AE18" s="81">
        <f t="shared" si="11"/>
        <v>89667419.679608762</v>
      </c>
      <c r="AF18" s="81">
        <f t="shared" si="11"/>
        <v>90580801.721631601</v>
      </c>
      <c r="AG18" s="142">
        <f t="shared" si="14"/>
        <v>21.621034247671023</v>
      </c>
      <c r="AH18" s="123">
        <f t="shared" si="12"/>
        <v>24.587018679963528</v>
      </c>
      <c r="AI18" s="123">
        <f t="shared" si="12"/>
        <v>24.211616318557031</v>
      </c>
      <c r="AJ18" s="123" t="str">
        <f>IF(AJ26/X9&gt;0,AJ26/X9,"nan")</f>
        <v>nan</v>
      </c>
      <c r="AK18" s="123" t="str">
        <f t="shared" si="12"/>
        <v>nan</v>
      </c>
      <c r="AL18" s="121" t="str">
        <f t="shared" si="12"/>
        <v>nan</v>
      </c>
    </row>
    <row r="19" spans="4:38" x14ac:dyDescent="0.2">
      <c r="D19" s="91"/>
      <c r="Q19" s="91"/>
      <c r="AA19" s="98" t="s">
        <v>143</v>
      </c>
      <c r="AB19" s="3"/>
      <c r="AC19" s="3"/>
      <c r="AD19" s="3"/>
      <c r="AE19" s="3"/>
      <c r="AF19" s="3"/>
      <c r="AG19" s="3" t="s">
        <v>109</v>
      </c>
      <c r="AH19" s="3"/>
      <c r="AI19" s="3"/>
      <c r="AJ19" s="3"/>
      <c r="AK19" s="3"/>
      <c r="AL19" s="3"/>
    </row>
    <row r="20" spans="4:38" x14ac:dyDescent="0.2">
      <c r="D20" s="91"/>
      <c r="Q20" s="91"/>
      <c r="AA20" s="3">
        <v>1</v>
      </c>
      <c r="AB20" s="3">
        <v>5</v>
      </c>
      <c r="AC20" s="3">
        <v>10</v>
      </c>
      <c r="AD20" s="3">
        <v>20</v>
      </c>
      <c r="AE20" s="3">
        <v>40</v>
      </c>
      <c r="AF20" s="3">
        <v>90</v>
      </c>
      <c r="AG20" s="3">
        <v>1</v>
      </c>
      <c r="AH20" s="3">
        <v>5</v>
      </c>
      <c r="AI20" s="3">
        <v>10</v>
      </c>
      <c r="AJ20" s="3">
        <v>20</v>
      </c>
      <c r="AK20" s="3">
        <v>40</v>
      </c>
      <c r="AL20" s="3">
        <v>90</v>
      </c>
    </row>
    <row r="21" spans="4:38" x14ac:dyDescent="0.2">
      <c r="D21" s="91"/>
      <c r="E21" t="s">
        <v>47</v>
      </c>
      <c r="G21" t="s">
        <v>48</v>
      </c>
      <c r="H21" t="s">
        <v>71</v>
      </c>
      <c r="I21" t="s">
        <v>58</v>
      </c>
      <c r="J21" t="s">
        <v>71</v>
      </c>
      <c r="K21" t="s">
        <v>58</v>
      </c>
      <c r="L21">
        <v>8</v>
      </c>
      <c r="M21" t="s">
        <v>71</v>
      </c>
      <c r="N21" t="s">
        <v>71</v>
      </c>
      <c r="O21" t="s">
        <v>71</v>
      </c>
      <c r="P21" t="s">
        <v>71</v>
      </c>
      <c r="Q21" s="91" t="s">
        <v>71</v>
      </c>
      <c r="Z21" s="26" t="s">
        <v>19</v>
      </c>
      <c r="AA21" s="112">
        <f>$AA$40</f>
        <v>113362000</v>
      </c>
      <c r="AB21" s="112">
        <f t="shared" ref="AB21:AF21" si="15">$AA$40</f>
        <v>113362000</v>
      </c>
      <c r="AC21" s="112">
        <f t="shared" si="15"/>
        <v>113362000</v>
      </c>
      <c r="AD21" s="112">
        <f t="shared" si="15"/>
        <v>113362000</v>
      </c>
      <c r="AE21" s="112">
        <f t="shared" si="15"/>
        <v>113362000</v>
      </c>
      <c r="AF21" s="112">
        <f t="shared" si="15"/>
        <v>113362000</v>
      </c>
      <c r="AG21" s="112">
        <f>AA29-AA21</f>
        <v>18245000</v>
      </c>
      <c r="AH21" s="112">
        <f t="shared" ref="AH21:AL26" si="16">AB29-AB21</f>
        <v>18245000</v>
      </c>
      <c r="AI21" s="112">
        <f t="shared" si="16"/>
        <v>18245000</v>
      </c>
      <c r="AJ21" s="112">
        <f t="shared" si="16"/>
        <v>18245000</v>
      </c>
      <c r="AK21" s="112">
        <f t="shared" si="16"/>
        <v>18245000</v>
      </c>
      <c r="AL21" s="112">
        <f t="shared" si="16"/>
        <v>18245000</v>
      </c>
    </row>
    <row r="22" spans="4:38" x14ac:dyDescent="0.2">
      <c r="D22" s="91"/>
      <c r="G22" s="3" t="s">
        <v>49</v>
      </c>
      <c r="H22" t="s">
        <v>234</v>
      </c>
      <c r="I22" t="s">
        <v>57</v>
      </c>
      <c r="K22" t="s">
        <v>66</v>
      </c>
      <c r="L22">
        <v>10</v>
      </c>
      <c r="M22" t="s">
        <v>230</v>
      </c>
      <c r="N22" t="s">
        <v>231</v>
      </c>
      <c r="O22" t="s">
        <v>232</v>
      </c>
      <c r="P22" t="s">
        <v>233</v>
      </c>
      <c r="Q22" s="91"/>
      <c r="Z22" s="26" t="s">
        <v>1</v>
      </c>
      <c r="AA22" s="112">
        <v>20000000</v>
      </c>
      <c r="AB22" s="112">
        <v>20000000</v>
      </c>
      <c r="AC22" s="112">
        <v>20000000</v>
      </c>
      <c r="AD22" s="112">
        <v>20000000</v>
      </c>
      <c r="AE22" s="112">
        <v>20000000</v>
      </c>
      <c r="AF22" s="112">
        <v>20000000</v>
      </c>
      <c r="AG22" s="112">
        <f t="shared" ref="AG22:AG26" si="17">AA30-AA22</f>
        <v>60000000</v>
      </c>
      <c r="AH22" s="112">
        <f t="shared" si="16"/>
        <v>60000000</v>
      </c>
      <c r="AI22" s="112">
        <f t="shared" si="16"/>
        <v>60000000</v>
      </c>
      <c r="AJ22" s="112">
        <f t="shared" si="16"/>
        <v>60000000</v>
      </c>
      <c r="AK22" s="112">
        <f t="shared" si="16"/>
        <v>60000000</v>
      </c>
      <c r="AL22" s="112">
        <f t="shared" si="16"/>
        <v>60000000</v>
      </c>
    </row>
    <row r="23" spans="4:38" x14ac:dyDescent="0.2">
      <c r="D23" s="91"/>
      <c r="G23" s="15" t="s">
        <v>54</v>
      </c>
      <c r="H23" t="s">
        <v>235</v>
      </c>
      <c r="I23" t="s">
        <v>67</v>
      </c>
      <c r="J23" t="s">
        <v>236</v>
      </c>
      <c r="K23" t="s">
        <v>68</v>
      </c>
      <c r="L23">
        <v>10</v>
      </c>
      <c r="M23" t="s">
        <v>237</v>
      </c>
      <c r="N23" t="s">
        <v>220</v>
      </c>
      <c r="O23" t="s">
        <v>220</v>
      </c>
      <c r="P23" t="s">
        <v>71</v>
      </c>
      <c r="Q23" s="91" t="s">
        <v>238</v>
      </c>
      <c r="Z23" s="26" t="s">
        <v>0</v>
      </c>
      <c r="AA23" s="112">
        <v>20000000</v>
      </c>
      <c r="AB23" s="112">
        <v>20000000</v>
      </c>
      <c r="AC23" s="112">
        <v>20000000</v>
      </c>
      <c r="AD23" s="112">
        <v>20000000</v>
      </c>
      <c r="AE23" s="112">
        <v>20000000</v>
      </c>
      <c r="AF23" s="112">
        <v>20000000</v>
      </c>
      <c r="AG23" s="112">
        <f t="shared" si="17"/>
        <v>60000000</v>
      </c>
      <c r="AH23" s="112">
        <f t="shared" si="16"/>
        <v>60000000</v>
      </c>
      <c r="AI23" s="112">
        <f t="shared" si="16"/>
        <v>60000000</v>
      </c>
      <c r="AJ23" s="112">
        <f t="shared" si="16"/>
        <v>60000000</v>
      </c>
      <c r="AK23" s="112">
        <f t="shared" si="16"/>
        <v>60000000</v>
      </c>
      <c r="AL23" s="112">
        <f t="shared" si="16"/>
        <v>60000000</v>
      </c>
    </row>
    <row r="24" spans="4:38" x14ac:dyDescent="0.2">
      <c r="D24" s="91"/>
      <c r="G24" s="17"/>
      <c r="Q24" s="91"/>
      <c r="Z24" s="26" t="s">
        <v>40</v>
      </c>
      <c r="AA24" s="112">
        <v>20000000</v>
      </c>
      <c r="AB24" s="112">
        <v>20000000</v>
      </c>
      <c r="AC24" s="112">
        <v>20000000</v>
      </c>
      <c r="AD24" s="112">
        <v>20000000</v>
      </c>
      <c r="AE24" s="112">
        <v>20000000</v>
      </c>
      <c r="AF24" s="112">
        <v>20000000</v>
      </c>
      <c r="AG24" s="112">
        <f t="shared" si="17"/>
        <v>60000000</v>
      </c>
      <c r="AH24" s="112">
        <f t="shared" si="16"/>
        <v>60000000</v>
      </c>
      <c r="AI24" s="112">
        <f t="shared" si="16"/>
        <v>60000000</v>
      </c>
      <c r="AJ24" s="112">
        <f t="shared" si="16"/>
        <v>60000000</v>
      </c>
      <c r="AK24" s="112">
        <f t="shared" si="16"/>
        <v>60000000</v>
      </c>
      <c r="AL24" s="112">
        <f t="shared" si="16"/>
        <v>60000000</v>
      </c>
    </row>
    <row r="25" spans="4:38" x14ac:dyDescent="0.2">
      <c r="D25" s="91"/>
      <c r="E25" t="s">
        <v>70</v>
      </c>
      <c r="G25" t="s">
        <v>53</v>
      </c>
      <c r="I25" t="s">
        <v>57</v>
      </c>
      <c r="K25" t="s">
        <v>57</v>
      </c>
      <c r="L25" t="s">
        <v>239</v>
      </c>
      <c r="Q25" s="91"/>
      <c r="Z25" s="26" t="s">
        <v>2</v>
      </c>
      <c r="AA25" s="112">
        <v>20000000</v>
      </c>
      <c r="AB25" s="112">
        <v>20000000</v>
      </c>
      <c r="AC25" s="112">
        <v>20000000</v>
      </c>
      <c r="AD25" s="112">
        <v>20000000</v>
      </c>
      <c r="AE25" s="112">
        <v>20000000</v>
      </c>
      <c r="AF25" s="112">
        <v>20000000</v>
      </c>
      <c r="AG25" s="112">
        <f t="shared" si="17"/>
        <v>60000000</v>
      </c>
      <c r="AH25" s="112">
        <f t="shared" si="16"/>
        <v>60000000</v>
      </c>
      <c r="AI25" s="112">
        <f t="shared" si="16"/>
        <v>60000000</v>
      </c>
      <c r="AJ25" s="112">
        <f t="shared" si="16"/>
        <v>60000000</v>
      </c>
      <c r="AK25" s="112">
        <f t="shared" si="16"/>
        <v>60000000</v>
      </c>
      <c r="AL25" s="112">
        <f t="shared" si="16"/>
        <v>60000000</v>
      </c>
    </row>
    <row r="26" spans="4:38" x14ac:dyDescent="0.2">
      <c r="D26" s="91"/>
      <c r="G26" t="s">
        <v>56</v>
      </c>
      <c r="I26" t="s">
        <v>57</v>
      </c>
      <c r="K26" t="s">
        <v>57</v>
      </c>
      <c r="L26" t="s">
        <v>239</v>
      </c>
      <c r="Q26" s="91"/>
      <c r="Z26" s="26" t="s">
        <v>3</v>
      </c>
      <c r="AA26" s="134">
        <v>20000000</v>
      </c>
      <c r="AB26" s="134">
        <v>20000000</v>
      </c>
      <c r="AC26" s="134">
        <v>20000000</v>
      </c>
      <c r="AD26" s="134">
        <v>20000000</v>
      </c>
      <c r="AE26" s="134">
        <v>20000000</v>
      </c>
      <c r="AF26" s="134">
        <v>20000000</v>
      </c>
      <c r="AG26" s="112">
        <f t="shared" si="17"/>
        <v>60000000</v>
      </c>
      <c r="AH26" s="112">
        <f t="shared" si="16"/>
        <v>60000000</v>
      </c>
      <c r="AI26" s="112">
        <f t="shared" si="16"/>
        <v>60000000</v>
      </c>
      <c r="AJ26" s="112">
        <f t="shared" si="16"/>
        <v>60000000</v>
      </c>
      <c r="AK26" s="112">
        <f t="shared" si="16"/>
        <v>60000000</v>
      </c>
      <c r="AL26" s="112">
        <f t="shared" si="16"/>
        <v>60000000</v>
      </c>
    </row>
    <row r="27" spans="4:38" ht="17" thickBot="1" x14ac:dyDescent="0.25">
      <c r="D27" s="91"/>
      <c r="E27" s="16"/>
      <c r="F27" s="16"/>
      <c r="G27" s="16" t="s">
        <v>55</v>
      </c>
      <c r="H27" s="16"/>
      <c r="I27" s="16" t="s">
        <v>57</v>
      </c>
      <c r="J27" s="16"/>
      <c r="K27" s="16" t="s">
        <v>57</v>
      </c>
      <c r="L27" s="16" t="s">
        <v>239</v>
      </c>
      <c r="M27" s="16"/>
      <c r="N27" s="16"/>
      <c r="O27" s="16"/>
      <c r="P27" s="16"/>
      <c r="Q27" s="92"/>
      <c r="AA27" s="3" t="s">
        <v>108</v>
      </c>
      <c r="AB27" s="3"/>
      <c r="AC27" s="3"/>
      <c r="AD27" s="3"/>
      <c r="AE27" s="3"/>
      <c r="AF27" s="3"/>
    </row>
    <row r="28" spans="4:38" x14ac:dyDescent="0.2">
      <c r="AA28" s="3">
        <v>1</v>
      </c>
      <c r="AB28" s="3">
        <v>5</v>
      </c>
      <c r="AC28" s="3">
        <v>10</v>
      </c>
      <c r="AD28" s="3">
        <v>20</v>
      </c>
      <c r="AE28" s="3">
        <v>40</v>
      </c>
      <c r="AF28" s="3">
        <v>90</v>
      </c>
      <c r="AH28" t="s">
        <v>169</v>
      </c>
    </row>
    <row r="29" spans="4:38" x14ac:dyDescent="0.2">
      <c r="Z29" s="26" t="s">
        <v>19</v>
      </c>
      <c r="AA29" s="112">
        <f>$AB$40</f>
        <v>131607000</v>
      </c>
      <c r="AB29" s="112">
        <f t="shared" ref="AB29:AF29" si="18">$AB$40</f>
        <v>131607000</v>
      </c>
      <c r="AC29" s="112">
        <f t="shared" si="18"/>
        <v>131607000</v>
      </c>
      <c r="AD29" s="112">
        <f t="shared" si="18"/>
        <v>131607000</v>
      </c>
      <c r="AE29" s="112">
        <f t="shared" si="18"/>
        <v>131607000</v>
      </c>
      <c r="AF29" s="112">
        <f t="shared" si="18"/>
        <v>131607000</v>
      </c>
      <c r="AH29" t="s">
        <v>170</v>
      </c>
      <c r="AK29" t="s">
        <v>171</v>
      </c>
    </row>
    <row r="30" spans="4:38" x14ac:dyDescent="0.2">
      <c r="Z30" s="26" t="s">
        <v>1</v>
      </c>
      <c r="AA30" s="112">
        <v>80000000</v>
      </c>
      <c r="AB30" s="112">
        <v>80000000</v>
      </c>
      <c r="AC30" s="112">
        <v>80000000</v>
      </c>
      <c r="AD30" s="112">
        <v>80000000</v>
      </c>
      <c r="AE30" s="112">
        <v>80000000</v>
      </c>
      <c r="AF30" s="112">
        <v>80000000</v>
      </c>
      <c r="AH30" t="s">
        <v>156</v>
      </c>
      <c r="AI30" s="113">
        <v>0.5</v>
      </c>
      <c r="AK30" t="s">
        <v>161</v>
      </c>
      <c r="AL30" s="14">
        <f>F4</f>
        <v>0.50523336824274578</v>
      </c>
    </row>
    <row r="31" spans="4:38" x14ac:dyDescent="0.2">
      <c r="Z31" s="26" t="s">
        <v>0</v>
      </c>
      <c r="AA31" s="112">
        <v>80000000</v>
      </c>
      <c r="AB31" s="112">
        <v>80000000</v>
      </c>
      <c r="AC31" s="112">
        <v>80000000</v>
      </c>
      <c r="AD31" s="112">
        <v>80000000</v>
      </c>
      <c r="AE31" s="112">
        <v>80000000</v>
      </c>
      <c r="AF31" s="112">
        <v>80000000</v>
      </c>
      <c r="AH31" t="s">
        <v>154</v>
      </c>
      <c r="AI31" s="144">
        <v>0.01</v>
      </c>
      <c r="AK31" t="s">
        <v>154</v>
      </c>
      <c r="AL31" s="14">
        <f>G4</f>
        <v>2.3777690494981896E-2</v>
      </c>
    </row>
    <row r="32" spans="4:38" x14ac:dyDescent="0.2">
      <c r="Z32" s="26" t="s">
        <v>40</v>
      </c>
      <c r="AA32" s="112">
        <v>80000000</v>
      </c>
      <c r="AB32" s="112">
        <v>80000000</v>
      </c>
      <c r="AC32" s="112">
        <v>80000000</v>
      </c>
      <c r="AD32" s="112">
        <v>80000000</v>
      </c>
      <c r="AE32" s="112">
        <v>80000000</v>
      </c>
      <c r="AF32" s="112">
        <v>80000000</v>
      </c>
      <c r="AH32" t="s">
        <v>157</v>
      </c>
      <c r="AI32" s="113">
        <f>AI30+AI31</f>
        <v>0.51</v>
      </c>
      <c r="AK32" t="s">
        <v>157</v>
      </c>
      <c r="AL32" s="14">
        <f>AL30+AL31</f>
        <v>0.52901105873772769</v>
      </c>
    </row>
    <row r="33" spans="3:39" x14ac:dyDescent="0.2">
      <c r="C33">
        <v>15</v>
      </c>
      <c r="E33" t="s">
        <v>96</v>
      </c>
      <c r="Z33" s="26" t="s">
        <v>2</v>
      </c>
      <c r="AA33" s="112">
        <v>80000000</v>
      </c>
      <c r="AB33" s="112">
        <v>80000000</v>
      </c>
      <c r="AC33" s="112">
        <v>80000000</v>
      </c>
      <c r="AD33" s="112">
        <v>80000000</v>
      </c>
      <c r="AE33" s="112">
        <v>80000000</v>
      </c>
      <c r="AF33" s="112">
        <v>80000000</v>
      </c>
      <c r="AH33" t="s">
        <v>155</v>
      </c>
      <c r="AI33" s="145">
        <v>650</v>
      </c>
      <c r="AJ33" t="s">
        <v>158</v>
      </c>
      <c r="AK33" t="s">
        <v>155</v>
      </c>
      <c r="AL33">
        <f>15*25/1000</f>
        <v>0.375</v>
      </c>
      <c r="AM33" t="s">
        <v>158</v>
      </c>
    </row>
    <row r="34" spans="3:39" x14ac:dyDescent="0.2">
      <c r="C34">
        <v>25</v>
      </c>
      <c r="E34" t="s">
        <v>97</v>
      </c>
      <c r="Z34" s="26" t="s">
        <v>3</v>
      </c>
      <c r="AA34" s="112">
        <v>80000000</v>
      </c>
      <c r="AB34" s="112">
        <v>80000000</v>
      </c>
      <c r="AC34" s="112">
        <v>80000000</v>
      </c>
      <c r="AD34" s="112">
        <v>80000000</v>
      </c>
      <c r="AE34" s="112">
        <v>80000000</v>
      </c>
      <c r="AF34" s="112">
        <v>80000000</v>
      </c>
      <c r="AH34" t="s">
        <v>164</v>
      </c>
      <c r="AI34">
        <f>365*24*AI30*AI33</f>
        <v>2847000</v>
      </c>
      <c r="AJ34" t="s">
        <v>160</v>
      </c>
      <c r="AK34" t="s">
        <v>164</v>
      </c>
      <c r="AL34">
        <f>365*24*AL30*$AL$33</f>
        <v>1659.6916146774199</v>
      </c>
      <c r="AM34" t="s">
        <v>160</v>
      </c>
    </row>
    <row r="35" spans="3:39" x14ac:dyDescent="0.2">
      <c r="C35">
        <v>0.5</v>
      </c>
      <c r="E35" t="s">
        <v>98</v>
      </c>
      <c r="AH35" t="s">
        <v>162</v>
      </c>
      <c r="AI35">
        <f>365*24*AI33*AI31</f>
        <v>56940</v>
      </c>
      <c r="AJ35" t="s">
        <v>160</v>
      </c>
      <c r="AK35" t="s">
        <v>162</v>
      </c>
      <c r="AL35">
        <f>365*24*AL31*$AL$33</f>
        <v>78.109713276015526</v>
      </c>
      <c r="AM35" t="s">
        <v>160</v>
      </c>
    </row>
    <row r="36" spans="3:39" x14ac:dyDescent="0.2">
      <c r="C36">
        <f>C33*C34*C35*365*24</f>
        <v>1642500</v>
      </c>
      <c r="E36" t="s">
        <v>99</v>
      </c>
      <c r="AH36" t="s">
        <v>163</v>
      </c>
      <c r="AI36">
        <f>365*24*AI33*AI32</f>
        <v>2903940</v>
      </c>
      <c r="AJ36" t="s">
        <v>160</v>
      </c>
      <c r="AK36" t="s">
        <v>163</v>
      </c>
      <c r="AL36">
        <f>365*24*AL32*$AL$33</f>
        <v>1737.8013279534352</v>
      </c>
      <c r="AM36" t="s">
        <v>160</v>
      </c>
    </row>
    <row r="37" spans="3:39" x14ac:dyDescent="0.2">
      <c r="C37">
        <f>C36/1000</f>
        <v>1642.5</v>
      </c>
      <c r="E37" t="s">
        <v>100</v>
      </c>
      <c r="AA37" t="s">
        <v>144</v>
      </c>
      <c r="AB37" t="s">
        <v>145</v>
      </c>
      <c r="AC37" t="s">
        <v>148</v>
      </c>
      <c r="AH37" t="s">
        <v>159</v>
      </c>
      <c r="AI37" s="146">
        <v>1100000000</v>
      </c>
      <c r="AK37" t="s">
        <v>159</v>
      </c>
      <c r="AL37" s="103">
        <f>AI37/AI35*AL35</f>
        <v>1508968.819873851</v>
      </c>
    </row>
    <row r="38" spans="3:39" x14ac:dyDescent="0.2">
      <c r="Z38" t="s">
        <v>146</v>
      </c>
      <c r="AA38" s="102">
        <v>88362000</v>
      </c>
      <c r="AB38" s="102">
        <v>93607000</v>
      </c>
      <c r="AC38" s="102">
        <f>AB38-AA38</f>
        <v>5245000</v>
      </c>
      <c r="AH38" t="s">
        <v>165</v>
      </c>
      <c r="AI38">
        <v>20</v>
      </c>
      <c r="AJ38" t="s">
        <v>167</v>
      </c>
      <c r="AK38" t="s">
        <v>165</v>
      </c>
      <c r="AL38">
        <v>20</v>
      </c>
      <c r="AM38" t="s">
        <v>167</v>
      </c>
    </row>
    <row r="39" spans="3:39" x14ac:dyDescent="0.2">
      <c r="Z39" t="s">
        <v>147</v>
      </c>
      <c r="AA39" s="102">
        <v>25000000</v>
      </c>
      <c r="AB39" s="102">
        <v>38000000</v>
      </c>
      <c r="AC39" s="102">
        <f>AB39-AA39</f>
        <v>13000000</v>
      </c>
      <c r="AK39" t="s">
        <v>166</v>
      </c>
      <c r="AL39">
        <v>146</v>
      </c>
      <c r="AM39" t="s">
        <v>167</v>
      </c>
    </row>
    <row r="40" spans="3:39" x14ac:dyDescent="0.2">
      <c r="Z40" t="s">
        <v>149</v>
      </c>
      <c r="AA40" s="103">
        <f>SUM(AA38:AA39)</f>
        <v>113362000</v>
      </c>
      <c r="AB40" s="103">
        <f>SUM(AB38:AB39)</f>
        <v>131607000</v>
      </c>
      <c r="AC40" s="103">
        <f>SUM(AC38:AC39)</f>
        <v>18245000</v>
      </c>
      <c r="AK40" t="s">
        <v>168</v>
      </c>
      <c r="AL40" s="103">
        <f>AL37/AL38*AL39</f>
        <v>11015472.385079112</v>
      </c>
    </row>
    <row r="51" spans="7:19" ht="17" thickBot="1" x14ac:dyDescent="0.25"/>
    <row r="52" spans="7:19" x14ac:dyDescent="0.2">
      <c r="G52" s="124" t="s">
        <v>5</v>
      </c>
      <c r="H52" s="93"/>
      <c r="I52" s="93"/>
      <c r="J52" s="93"/>
      <c r="K52" s="93"/>
      <c r="L52" s="93"/>
      <c r="M52" s="93"/>
      <c r="N52" s="133" t="s">
        <v>142</v>
      </c>
      <c r="O52" s="93"/>
      <c r="P52" s="93"/>
      <c r="Q52" s="93"/>
      <c r="R52" s="93"/>
      <c r="S52" s="94"/>
    </row>
    <row r="53" spans="7:19" x14ac:dyDescent="0.2">
      <c r="G53" s="125" t="s">
        <v>4</v>
      </c>
      <c r="H53" s="4">
        <v>1</v>
      </c>
      <c r="I53" s="4">
        <v>5</v>
      </c>
      <c r="J53" s="4">
        <v>10</v>
      </c>
      <c r="K53" s="4">
        <v>20</v>
      </c>
      <c r="L53" s="4">
        <v>40</v>
      </c>
      <c r="M53" s="4">
        <v>90</v>
      </c>
      <c r="N53" s="125">
        <v>1</v>
      </c>
      <c r="O53" s="4">
        <v>5</v>
      </c>
      <c r="P53" s="4">
        <v>10</v>
      </c>
      <c r="Q53" s="4">
        <v>20</v>
      </c>
      <c r="R53" s="4">
        <v>40</v>
      </c>
      <c r="S53" s="126">
        <v>90</v>
      </c>
    </row>
    <row r="54" spans="7:19" x14ac:dyDescent="0.2">
      <c r="G54" s="95" t="s">
        <v>12</v>
      </c>
      <c r="H54" s="3">
        <v>3215</v>
      </c>
      <c r="I54" s="3">
        <v>1826</v>
      </c>
      <c r="J54" s="3">
        <v>1291</v>
      </c>
      <c r="K54" s="3">
        <v>929</v>
      </c>
      <c r="L54" s="3">
        <v>633</v>
      </c>
      <c r="M54" s="3">
        <v>380</v>
      </c>
      <c r="N54" s="131">
        <f>H54*2/365</f>
        <v>17.616438356164384</v>
      </c>
      <c r="O54" s="127">
        <f t="shared" ref="O54:S58" si="19">I54*2/365</f>
        <v>10.005479452054795</v>
      </c>
      <c r="P54" s="127">
        <f t="shared" si="19"/>
        <v>7.0739726027397261</v>
      </c>
      <c r="Q54" s="127">
        <f t="shared" si="19"/>
        <v>5.0904109589041093</v>
      </c>
      <c r="R54" s="127">
        <f t="shared" si="19"/>
        <v>3.4684931506849317</v>
      </c>
      <c r="S54" s="128">
        <f>M54*2/365</f>
        <v>2.0821917808219177</v>
      </c>
    </row>
    <row r="55" spans="7:19" x14ac:dyDescent="0.2">
      <c r="G55" s="95"/>
      <c r="H55" s="3">
        <v>3245</v>
      </c>
      <c r="I55" s="3">
        <v>1766</v>
      </c>
      <c r="J55" s="3">
        <v>1110</v>
      </c>
      <c r="K55" s="3">
        <v>596</v>
      </c>
      <c r="L55" s="3">
        <v>292</v>
      </c>
      <c r="M55" s="3">
        <v>110</v>
      </c>
      <c r="N55" s="131">
        <f t="shared" ref="N55:N58" si="20">H55*2/365</f>
        <v>17.780821917808218</v>
      </c>
      <c r="O55" s="127">
        <f t="shared" si="19"/>
        <v>9.6767123287671239</v>
      </c>
      <c r="P55" s="127">
        <f t="shared" si="19"/>
        <v>6.0821917808219181</v>
      </c>
      <c r="Q55" s="127">
        <f t="shared" si="19"/>
        <v>3.2657534246575342</v>
      </c>
      <c r="R55" s="127">
        <f t="shared" si="19"/>
        <v>1.6</v>
      </c>
      <c r="S55" s="128">
        <f t="shared" si="19"/>
        <v>0.60273972602739723</v>
      </c>
    </row>
    <row r="56" spans="7:19" x14ac:dyDescent="0.2">
      <c r="G56" s="95"/>
      <c r="H56" s="3">
        <v>3070</v>
      </c>
      <c r="I56" s="3">
        <v>1646</v>
      </c>
      <c r="J56" s="3">
        <v>1044</v>
      </c>
      <c r="K56" s="3">
        <v>582</v>
      </c>
      <c r="L56" s="3">
        <v>314</v>
      </c>
      <c r="M56" s="3">
        <v>158</v>
      </c>
      <c r="N56" s="131">
        <f t="shared" si="20"/>
        <v>16.82191780821918</v>
      </c>
      <c r="O56" s="127">
        <f t="shared" si="19"/>
        <v>9.0191780821917806</v>
      </c>
      <c r="P56" s="127">
        <f t="shared" si="19"/>
        <v>5.720547945205479</v>
      </c>
      <c r="Q56" s="127">
        <f t="shared" si="19"/>
        <v>3.1890410958904107</v>
      </c>
      <c r="R56" s="127">
        <f t="shared" si="19"/>
        <v>1.7205479452054795</v>
      </c>
      <c r="S56" s="128">
        <f t="shared" si="19"/>
        <v>0.86575342465753424</v>
      </c>
    </row>
    <row r="57" spans="7:19" x14ac:dyDescent="0.2">
      <c r="G57" s="95"/>
      <c r="H57" s="3">
        <v>3062</v>
      </c>
      <c r="I57" s="3">
        <v>1512</v>
      </c>
      <c r="J57" s="3">
        <v>905</v>
      </c>
      <c r="K57" s="3">
        <v>472</v>
      </c>
      <c r="L57" s="3">
        <v>233</v>
      </c>
      <c r="M57" s="3">
        <v>111</v>
      </c>
      <c r="N57" s="131">
        <f t="shared" si="20"/>
        <v>16.778082191780822</v>
      </c>
      <c r="O57" s="127">
        <f t="shared" si="19"/>
        <v>8.2849315068493148</v>
      </c>
      <c r="P57" s="127">
        <f t="shared" si="19"/>
        <v>4.9589041095890414</v>
      </c>
      <c r="Q57" s="127">
        <f t="shared" si="19"/>
        <v>2.5863013698630137</v>
      </c>
      <c r="R57" s="127">
        <f t="shared" si="19"/>
        <v>1.2767123287671234</v>
      </c>
      <c r="S57" s="128">
        <f t="shared" si="19"/>
        <v>0.60821917808219184</v>
      </c>
    </row>
    <row r="58" spans="7:19" ht="17" thickBot="1" x14ac:dyDescent="0.25">
      <c r="G58" s="96"/>
      <c r="H58" s="97">
        <v>2825</v>
      </c>
      <c r="I58" s="97">
        <v>1348</v>
      </c>
      <c r="J58" s="97">
        <v>804</v>
      </c>
      <c r="K58" s="97">
        <v>441</v>
      </c>
      <c r="L58" s="97">
        <v>217</v>
      </c>
      <c r="M58" s="97">
        <v>117</v>
      </c>
      <c r="N58" s="132">
        <f t="shared" si="20"/>
        <v>15.479452054794521</v>
      </c>
      <c r="O58" s="129">
        <f t="shared" si="19"/>
        <v>7.3863013698630136</v>
      </c>
      <c r="P58" s="129">
        <f t="shared" si="19"/>
        <v>4.4054794520547942</v>
      </c>
      <c r="Q58" s="129">
        <f t="shared" si="19"/>
        <v>2.4164383561643836</v>
      </c>
      <c r="R58" s="129">
        <f t="shared" si="19"/>
        <v>1.189041095890411</v>
      </c>
      <c r="S58" s="130">
        <f t="shared" si="19"/>
        <v>0.64109589041095894</v>
      </c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3B3E0-AD14-4D4A-8FD6-C918EB924E3D}">
  <dimension ref="B1:BF58"/>
  <sheetViews>
    <sheetView topLeftCell="J1" zoomScale="136" zoomScaleNormal="136" workbookViewId="0">
      <selection activeCell="S4" sqref="S4:S9"/>
    </sheetView>
  </sheetViews>
  <sheetFormatPr baseColWidth="10" defaultColWidth="8.83203125" defaultRowHeight="16" x14ac:dyDescent="0.2"/>
  <cols>
    <col min="2" max="2" width="15" customWidth="1"/>
    <col min="3" max="3" width="17.5" customWidth="1"/>
    <col min="4" max="4" width="27.83203125" bestFit="1" customWidth="1"/>
    <col min="5" max="6" width="17.5" customWidth="1"/>
    <col min="7" max="7" width="19.6640625" customWidth="1"/>
    <col min="8" max="8" width="16.1640625" customWidth="1"/>
    <col min="9" max="9" width="12.5" customWidth="1"/>
    <col min="10" max="10" width="17.6640625" customWidth="1"/>
    <col min="11" max="11" width="17.83203125" customWidth="1"/>
    <col min="13" max="13" width="23" customWidth="1"/>
    <col min="14" max="14" width="18.6640625" customWidth="1"/>
    <col min="15" max="15" width="13.83203125" customWidth="1"/>
    <col min="16" max="16" width="13" customWidth="1"/>
    <col min="20" max="20" width="12.5" bestFit="1" customWidth="1"/>
    <col min="21" max="21" width="18.83203125" bestFit="1" customWidth="1"/>
    <col min="22" max="23" width="12.6640625" bestFit="1" customWidth="1"/>
    <col min="24" max="24" width="13.33203125" bestFit="1" customWidth="1"/>
    <col min="25" max="26" width="14.33203125" bestFit="1" customWidth="1"/>
    <col min="27" max="28" width="16" bestFit="1" customWidth="1"/>
    <col min="29" max="29" width="15.1640625" bestFit="1" customWidth="1"/>
    <col min="30" max="30" width="15.6640625" bestFit="1" customWidth="1"/>
    <col min="31" max="32" width="15.5" bestFit="1" customWidth="1"/>
    <col min="33" max="33" width="14.83203125" customWidth="1"/>
    <col min="34" max="34" width="15" bestFit="1" customWidth="1"/>
    <col min="35" max="35" width="18.6640625" bestFit="1" customWidth="1"/>
    <col min="36" max="38" width="15" bestFit="1" customWidth="1"/>
  </cols>
  <sheetData>
    <row r="1" spans="2:58" ht="27" x14ac:dyDescent="0.35">
      <c r="G1" s="28" t="s">
        <v>79</v>
      </c>
      <c r="H1" s="29"/>
      <c r="I1" s="29"/>
      <c r="J1" s="29"/>
      <c r="K1" s="29"/>
      <c r="L1" s="30"/>
      <c r="M1" s="58" t="s">
        <v>80</v>
      </c>
      <c r="N1" s="43"/>
      <c r="O1" s="43"/>
      <c r="P1" s="43"/>
      <c r="Q1" s="43"/>
      <c r="R1" s="44"/>
      <c r="S1" s="58" t="s">
        <v>81</v>
      </c>
      <c r="T1" s="59"/>
      <c r="U1" s="58" t="s">
        <v>91</v>
      </c>
      <c r="V1" s="27" t="e" vm="1">
        <v>#VALUE!</v>
      </c>
      <c r="W1" s="66" cm="1">
        <f t="array" ref="W1">_FV(V1,"Previous close",TRUE)</f>
        <v>1.2850999999999999</v>
      </c>
      <c r="X1" s="59"/>
      <c r="Y1" s="59"/>
      <c r="Z1" s="59"/>
      <c r="AA1" s="83" t="s">
        <v>76</v>
      </c>
      <c r="AB1" s="43" t="s">
        <v>110</v>
      </c>
      <c r="AC1" s="59" t="s">
        <v>111</v>
      </c>
      <c r="AD1" s="99" t="s">
        <v>112</v>
      </c>
      <c r="AE1" s="59"/>
      <c r="AF1" s="43"/>
      <c r="AG1" s="83" t="s">
        <v>77</v>
      </c>
      <c r="AH1" s="115" t="s">
        <v>135</v>
      </c>
      <c r="AI1" s="43"/>
      <c r="AJ1" s="43"/>
      <c r="AK1" s="43" t="s">
        <v>140</v>
      </c>
      <c r="AL1" s="44"/>
      <c r="AM1" s="19" t="s">
        <v>82</v>
      </c>
    </row>
    <row r="2" spans="2:58" x14ac:dyDescent="0.2">
      <c r="G2" s="57" t="s">
        <v>83</v>
      </c>
      <c r="H2" s="8"/>
      <c r="I2" s="8"/>
      <c r="J2" s="8"/>
      <c r="K2" s="8"/>
      <c r="L2" s="31"/>
      <c r="M2" s="56" t="s">
        <v>84</v>
      </c>
      <c r="N2" s="8"/>
      <c r="O2" s="8"/>
      <c r="P2" s="8"/>
      <c r="Q2" s="8"/>
      <c r="R2" s="31"/>
      <c r="S2" s="32" t="s">
        <v>85</v>
      </c>
      <c r="T2" s="18" t="s">
        <v>92</v>
      </c>
      <c r="U2" s="32" t="s">
        <v>84</v>
      </c>
      <c r="V2" s="18"/>
      <c r="W2" s="18"/>
      <c r="X2" s="18"/>
      <c r="Y2" s="18"/>
      <c r="Z2" s="18"/>
      <c r="AA2" s="84" t="s">
        <v>104</v>
      </c>
      <c r="AB2" s="85">
        <v>7.4999999999999997E-2</v>
      </c>
      <c r="AC2" s="85" t="s">
        <v>106</v>
      </c>
      <c r="AD2" s="85">
        <v>20</v>
      </c>
      <c r="AE2" s="18"/>
      <c r="AF2" s="18"/>
      <c r="AG2" s="86" t="s">
        <v>106</v>
      </c>
      <c r="AH2" s="87">
        <f>AD2</f>
        <v>20</v>
      </c>
      <c r="AI2" s="18"/>
      <c r="AJ2" s="18"/>
      <c r="AK2" s="18"/>
      <c r="AL2" s="33"/>
      <c r="AM2" s="19"/>
      <c r="AN2" s="20"/>
      <c r="AO2" s="20"/>
      <c r="AP2" s="20"/>
      <c r="AQ2" s="20"/>
      <c r="AR2" s="20"/>
      <c r="AS2" s="20"/>
      <c r="AT2" s="20"/>
      <c r="AU2" s="21" t="s">
        <v>86</v>
      </c>
      <c r="AV2" s="22"/>
      <c r="AW2" s="22"/>
      <c r="AX2" s="22"/>
      <c r="AY2" s="22"/>
      <c r="AZ2" s="22"/>
      <c r="BA2" s="23" t="s">
        <v>87</v>
      </c>
      <c r="BB2" s="23"/>
      <c r="BC2" s="23"/>
      <c r="BD2" s="23"/>
      <c r="BE2" s="23"/>
      <c r="BF2" s="23"/>
    </row>
    <row r="3" spans="2:58" ht="17" thickBot="1" x14ac:dyDescent="0.25">
      <c r="B3" s="3"/>
      <c r="C3" s="24" t="s">
        <v>8</v>
      </c>
      <c r="D3" s="25" t="s">
        <v>101</v>
      </c>
      <c r="E3" s="25" t="s">
        <v>88</v>
      </c>
      <c r="F3" s="25" t="s">
        <v>95</v>
      </c>
      <c r="G3" s="32">
        <v>1</v>
      </c>
      <c r="H3" s="18">
        <v>5</v>
      </c>
      <c r="I3" s="18">
        <v>10</v>
      </c>
      <c r="J3" s="18">
        <v>20</v>
      </c>
      <c r="K3" s="18">
        <v>40</v>
      </c>
      <c r="L3" s="33">
        <v>90</v>
      </c>
      <c r="M3" s="32">
        <v>1</v>
      </c>
      <c r="N3" s="18">
        <v>5</v>
      </c>
      <c r="O3" s="18">
        <v>10</v>
      </c>
      <c r="P3" s="18">
        <v>20</v>
      </c>
      <c r="Q3" s="18">
        <v>40</v>
      </c>
      <c r="R3" s="33">
        <v>90</v>
      </c>
      <c r="S3" s="54" t="s">
        <v>94</v>
      </c>
      <c r="T3" s="66" t="s">
        <v>93</v>
      </c>
      <c r="U3" s="60">
        <v>1</v>
      </c>
      <c r="V3" s="61">
        <v>5</v>
      </c>
      <c r="W3" s="61">
        <v>10</v>
      </c>
      <c r="X3" s="61">
        <v>20</v>
      </c>
      <c r="Y3" s="61">
        <v>40</v>
      </c>
      <c r="Z3" s="61">
        <v>90</v>
      </c>
      <c r="AA3" s="60">
        <v>1</v>
      </c>
      <c r="AB3" s="61">
        <v>5</v>
      </c>
      <c r="AC3" s="61">
        <v>10</v>
      </c>
      <c r="AD3" s="61">
        <v>20</v>
      </c>
      <c r="AE3" s="61">
        <v>40</v>
      </c>
      <c r="AF3" s="61">
        <v>90</v>
      </c>
      <c r="AG3" s="60">
        <v>1</v>
      </c>
      <c r="AH3" s="61">
        <v>5</v>
      </c>
      <c r="AI3" s="61">
        <v>10</v>
      </c>
      <c r="AJ3" s="61">
        <v>20</v>
      </c>
      <c r="AK3" s="61">
        <v>40</v>
      </c>
      <c r="AL3" s="62">
        <v>90</v>
      </c>
      <c r="AM3" s="20"/>
      <c r="AN3" s="20"/>
      <c r="AO3" s="20"/>
      <c r="AP3" s="20"/>
      <c r="AQ3" s="20"/>
      <c r="AR3" s="20"/>
      <c r="AS3" s="20"/>
      <c r="AT3" s="20"/>
      <c r="AU3" s="22"/>
      <c r="AV3" s="22"/>
      <c r="AW3" s="22"/>
      <c r="AX3" s="22"/>
      <c r="AY3" s="22"/>
      <c r="AZ3" s="22"/>
      <c r="BA3" s="23" t="s">
        <v>89</v>
      </c>
      <c r="BB3" s="23"/>
      <c r="BC3" s="23"/>
      <c r="BD3" s="23"/>
      <c r="BE3" s="23"/>
      <c r="BF3" s="23"/>
    </row>
    <row r="4" spans="2:58" x14ac:dyDescent="0.2">
      <c r="B4" s="26" t="s">
        <v>19</v>
      </c>
      <c r="C4" s="6" t="s">
        <v>9</v>
      </c>
      <c r="D4" s="6">
        <v>1.6596916146774201</v>
      </c>
      <c r="E4" s="6">
        <f>D4*1000</f>
        <v>1659.6916146774201</v>
      </c>
      <c r="F4" s="72">
        <f>D4/(15*25/1000000*365*24)</f>
        <v>0.50523336824274578</v>
      </c>
      <c r="G4" s="34">
        <v>2.3777690494981896E-2</v>
      </c>
      <c r="H4" s="35">
        <v>2.3828914888907302E-2</v>
      </c>
      <c r="I4" s="35">
        <v>2.3801701020303399E-2</v>
      </c>
      <c r="J4" s="35">
        <v>2.4004942046583402E-2</v>
      </c>
      <c r="K4" s="35">
        <v>2.3063300445907903E-2</v>
      </c>
      <c r="L4" s="36">
        <v>2.01427867510117E-2</v>
      </c>
      <c r="M4" s="45">
        <f>$E4*G4</f>
        <v>39.463633530916447</v>
      </c>
      <c r="N4" s="46">
        <f t="shared" ref="N4:R9" si="0">$E4*H4</f>
        <v>39.548650227981376</v>
      </c>
      <c r="O4" s="46">
        <f t="shared" si="0"/>
        <v>39.503483598456548</v>
      </c>
      <c r="P4" s="46">
        <f t="shared" si="0"/>
        <v>39.840801025531903</v>
      </c>
      <c r="Q4" s="46">
        <f t="shared" si="0"/>
        <v>38.277966356859352</v>
      </c>
      <c r="R4" s="47">
        <f t="shared" si="0"/>
        <v>33.430814266889556</v>
      </c>
      <c r="S4" s="54">
        <v>116000</v>
      </c>
      <c r="T4" s="66">
        <f t="shared" ref="T4:T9" si="1">S4*$W$1</f>
        <v>149071.59999999998</v>
      </c>
      <c r="U4" s="64">
        <f>M4*$T4</f>
        <v>5882906.9922673628</v>
      </c>
      <c r="V4" s="68">
        <f t="shared" ref="V4:Z9" si="2">N4*$T4</f>
        <v>5895580.5673255473</v>
      </c>
      <c r="W4" s="68">
        <f t="shared" si="2"/>
        <v>5888847.5055956738</v>
      </c>
      <c r="X4" s="68">
        <f t="shared" si="2"/>
        <v>5939131.9541576803</v>
      </c>
      <c r="Y4" s="68">
        <f t="shared" si="2"/>
        <v>5706157.6895631934</v>
      </c>
      <c r="Z4" s="68">
        <f t="shared" si="2"/>
        <v>4983584.9720680527</v>
      </c>
      <c r="AA4" s="104">
        <f>U4*(1-(1/(1+$AB$2))^$AD$2)/(1-(1/(1+$AB$2)))-AG21</f>
        <v>46226237.837069273</v>
      </c>
      <c r="AB4" s="105">
        <f t="shared" ref="AB4:AF9" si="3">V4*(1-(1/(1+$AB$2))^$AD$2)/(1-(1/(1+$AB$2)))-AH21</f>
        <v>46365128.537346557</v>
      </c>
      <c r="AC4" s="105">
        <f t="shared" si="3"/>
        <v>46291340.387248494</v>
      </c>
      <c r="AD4" s="105">
        <f t="shared" si="3"/>
        <v>46842411.591843136</v>
      </c>
      <c r="AE4" s="105">
        <f t="shared" si="3"/>
        <v>44289228.404971361</v>
      </c>
      <c r="AF4" s="105">
        <f t="shared" si="3"/>
        <v>36370497.480712421</v>
      </c>
      <c r="AG4" s="110">
        <f>U4/AG21</f>
        <v>0.32243940763317963</v>
      </c>
      <c r="AH4" s="106">
        <f t="shared" ref="AH4:AL9" si="4">V4/AH21</f>
        <v>0.32313404041247179</v>
      </c>
      <c r="AI4" s="106">
        <f t="shared" si="4"/>
        <v>0.32276500441741157</v>
      </c>
      <c r="AJ4" s="106">
        <f t="shared" si="4"/>
        <v>0.32552107175432615</v>
      </c>
      <c r="AK4" s="106">
        <f t="shared" si="4"/>
        <v>0.31275186021173984</v>
      </c>
      <c r="AL4" s="107">
        <f t="shared" si="4"/>
        <v>0.27314798421858333</v>
      </c>
      <c r="AM4" s="20"/>
      <c r="AN4" s="20"/>
      <c r="AO4" s="20"/>
      <c r="AP4" s="20"/>
      <c r="AQ4" s="20"/>
      <c r="AR4" s="20"/>
      <c r="AS4" s="20"/>
      <c r="AT4" s="20"/>
      <c r="AU4" s="22"/>
      <c r="AV4" s="22"/>
      <c r="AW4" s="22"/>
      <c r="AX4" s="22"/>
      <c r="AY4" s="22"/>
      <c r="AZ4" s="22"/>
      <c r="BA4" s="23"/>
      <c r="BB4" s="23"/>
      <c r="BC4" s="23"/>
      <c r="BD4" s="23"/>
      <c r="BE4" s="23"/>
      <c r="BF4" s="23"/>
    </row>
    <row r="5" spans="2:58" x14ac:dyDescent="0.2">
      <c r="B5" s="26" t="s">
        <v>1</v>
      </c>
      <c r="C5" s="6" t="s">
        <v>10</v>
      </c>
      <c r="D5" s="6">
        <v>1.90805515968404</v>
      </c>
      <c r="E5" s="6">
        <f t="shared" ref="E5:E9" si="5">D5*1000</f>
        <v>1908.0551596840401</v>
      </c>
      <c r="F5" s="72">
        <f t="shared" ref="F5:F9" si="6">D5/(15*25/1000000*365*24)</f>
        <v>0.58083870918844438</v>
      </c>
      <c r="G5" s="34">
        <v>2.2691132068976397E-2</v>
      </c>
      <c r="H5" s="35">
        <v>2.2778598699548201E-2</v>
      </c>
      <c r="I5" s="35">
        <v>2.2837268033670699E-2</v>
      </c>
      <c r="J5" s="35">
        <v>2.1079076571451499E-2</v>
      </c>
      <c r="K5" s="35">
        <v>1.8966368718234702E-2</v>
      </c>
      <c r="L5" s="36">
        <v>1.7640938214229501E-2</v>
      </c>
      <c r="M5" s="45">
        <f t="shared" ref="M5:M9" si="7">$E5*G5</f>
        <v>43.295931623282399</v>
      </c>
      <c r="N5" s="46">
        <f t="shared" si="0"/>
        <v>43.462822779045112</v>
      </c>
      <c r="O5" s="46">
        <f t="shared" si="0"/>
        <v>43.574767104732771</v>
      </c>
      <c r="P5" s="46">
        <f t="shared" si="0"/>
        <v>40.220040813532997</v>
      </c>
      <c r="Q5" s="46">
        <f t="shared" si="0"/>
        <v>36.188877693297698</v>
      </c>
      <c r="R5" s="47">
        <f t="shared" si="0"/>
        <v>33.659883181327956</v>
      </c>
      <c r="S5" s="54">
        <v>116000</v>
      </c>
      <c r="T5" s="66">
        <f t="shared" si="1"/>
        <v>149071.59999999998</v>
      </c>
      <c r="U5" s="64">
        <f t="shared" ref="U5:U9" si="8">M5*$T5</f>
        <v>6454193.8005733034</v>
      </c>
      <c r="V5" s="68">
        <f t="shared" si="2"/>
        <v>6479072.5321887005</v>
      </c>
      <c r="W5" s="68">
        <f t="shared" si="2"/>
        <v>6495760.2519298811</v>
      </c>
      <c r="X5" s="68">
        <f t="shared" si="2"/>
        <v>5995665.8361386647</v>
      </c>
      <c r="Y5" s="68">
        <f t="shared" si="2"/>
        <v>5394733.8999441965</v>
      </c>
      <c r="Z5" s="68">
        <f t="shared" si="2"/>
        <v>5017732.6416536476</v>
      </c>
      <c r="AA5" s="64">
        <f t="shared" ref="AA5:AA9" si="9">U5*(1-(1/(1+$AB$2))^$AD$2)/(1-(1/(1+$AB$2)))-AG22</f>
        <v>10732014.650281653</v>
      </c>
      <c r="AB5" s="68">
        <f t="shared" si="3"/>
        <v>11004662.615848541</v>
      </c>
      <c r="AC5" s="68">
        <f t="shared" si="3"/>
        <v>11187544.641657576</v>
      </c>
      <c r="AD5" s="68">
        <f t="shared" si="3"/>
        <v>5706970.8260516077</v>
      </c>
      <c r="AE5" s="68">
        <f t="shared" si="3"/>
        <v>-878689.26227013022</v>
      </c>
      <c r="AF5" s="68">
        <f t="shared" si="3"/>
        <v>-5010275.5375711694</v>
      </c>
      <c r="AG5" s="110">
        <f t="shared" ref="AG5:AG9" si="10">U5/AG22</f>
        <v>0.10756989667622173</v>
      </c>
      <c r="AH5" s="106">
        <f t="shared" si="4"/>
        <v>0.107984542203145</v>
      </c>
      <c r="AI5" s="106">
        <f t="shared" si="4"/>
        <v>0.10826267086549801</v>
      </c>
      <c r="AJ5" s="106">
        <f t="shared" si="4"/>
        <v>9.9927763935644412E-2</v>
      </c>
      <c r="AK5" s="106">
        <f t="shared" si="4"/>
        <v>8.9912231665736614E-2</v>
      </c>
      <c r="AL5" s="107">
        <f t="shared" si="4"/>
        <v>8.3628877360894124E-2</v>
      </c>
      <c r="AM5" s="20"/>
      <c r="AN5" s="20"/>
      <c r="AO5" s="20"/>
      <c r="AP5" s="20"/>
      <c r="AQ5" s="20"/>
      <c r="AR5" s="20"/>
      <c r="AS5" s="20"/>
      <c r="AT5" s="20"/>
      <c r="AU5" s="22"/>
      <c r="AV5" s="22"/>
      <c r="AW5" s="22"/>
      <c r="AX5" s="22"/>
      <c r="AY5" s="22"/>
      <c r="AZ5" s="22"/>
      <c r="BA5" s="23"/>
      <c r="BB5" s="23"/>
      <c r="BC5" s="23"/>
      <c r="BD5" s="23"/>
      <c r="BE5" s="23"/>
      <c r="BF5" s="23"/>
    </row>
    <row r="6" spans="2:58" x14ac:dyDescent="0.2">
      <c r="B6" s="26" t="s">
        <v>0</v>
      </c>
      <c r="C6" s="6" t="s">
        <v>14</v>
      </c>
      <c r="D6" s="6">
        <v>2.2514664777486302</v>
      </c>
      <c r="E6" s="6">
        <f t="shared" si="5"/>
        <v>2251.46647774863</v>
      </c>
      <c r="F6" s="72">
        <f t="shared" si="6"/>
        <v>0.68537792321115076</v>
      </c>
      <c r="G6" s="34">
        <v>1.60494705205966E-2</v>
      </c>
      <c r="H6" s="35">
        <v>1.3441060978481101E-2</v>
      </c>
      <c r="I6" s="35">
        <v>1.09279275487812E-2</v>
      </c>
      <c r="J6" s="35">
        <v>2.5342966838680495E-3</v>
      </c>
      <c r="K6" s="35">
        <v>1.0720150038108899E-3</v>
      </c>
      <c r="L6" s="37">
        <v>-2.9798649364755899E-2</v>
      </c>
      <c r="M6" s="45">
        <f t="shared" si="7"/>
        <v>36.134844862738099</v>
      </c>
      <c r="N6" s="46">
        <f t="shared" si="0"/>
        <v>30.2620982184254</v>
      </c>
      <c r="O6" s="46">
        <f t="shared" si="0"/>
        <v>24.60386254734663</v>
      </c>
      <c r="P6" s="46">
        <f t="shared" si="0"/>
        <v>5.7058840283984305</v>
      </c>
      <c r="Q6" s="46">
        <f t="shared" si="0"/>
        <v>2.4136058447237887</v>
      </c>
      <c r="R6" s="48">
        <f t="shared" si="0"/>
        <v>-67.090660126933415</v>
      </c>
      <c r="S6" s="54">
        <v>116000</v>
      </c>
      <c r="T6" s="66">
        <f t="shared" si="1"/>
        <v>149071.59999999998</v>
      </c>
      <c r="U6" s="64">
        <f t="shared" si="8"/>
        <v>5386679.1394401481</v>
      </c>
      <c r="V6" s="68">
        <f t="shared" si="2"/>
        <v>4511219.4007778233</v>
      </c>
      <c r="W6" s="68">
        <f t="shared" si="2"/>
        <v>3667737.1561130374</v>
      </c>
      <c r="X6" s="68">
        <f t="shared" si="2"/>
        <v>850585.2615277993</v>
      </c>
      <c r="Y6" s="68">
        <f t="shared" si="2"/>
        <v>359800.08504232671</v>
      </c>
      <c r="Z6" s="70">
        <f t="shared" si="2"/>
        <v>-10001312.050178166</v>
      </c>
      <c r="AA6" s="64">
        <f t="shared" si="9"/>
        <v>-966962.01260592788</v>
      </c>
      <c r="AB6" s="68">
        <f t="shared" si="3"/>
        <v>-10561193.759302929</v>
      </c>
      <c r="AC6" s="68">
        <f t="shared" si="3"/>
        <v>-19804981.648284905</v>
      </c>
      <c r="AD6" s="68">
        <f t="shared" si="3"/>
        <v>-50678369.593681268</v>
      </c>
      <c r="AE6" s="68">
        <f t="shared" si="3"/>
        <v>-56056922.727649443</v>
      </c>
      <c r="AF6" s="68">
        <f t="shared" si="3"/>
        <v>-169605160.97183251</v>
      </c>
      <c r="AG6" s="110">
        <f t="shared" si="10"/>
        <v>8.9777985657335801E-2</v>
      </c>
      <c r="AH6" s="106">
        <f t="shared" si="4"/>
        <v>7.5186990012963723E-2</v>
      </c>
      <c r="AI6" s="106">
        <f t="shared" si="4"/>
        <v>6.112895260188396E-2</v>
      </c>
      <c r="AJ6" s="106">
        <f t="shared" si="4"/>
        <v>1.4176421025463322E-2</v>
      </c>
      <c r="AK6" s="106">
        <f t="shared" si="4"/>
        <v>5.9966680840387787E-3</v>
      </c>
      <c r="AL6" s="107">
        <f t="shared" si="4"/>
        <v>-0.16668853416963611</v>
      </c>
      <c r="AM6" s="20"/>
      <c r="AN6" s="20"/>
      <c r="AO6" s="20"/>
      <c r="AP6" s="20"/>
      <c r="AQ6" s="20"/>
      <c r="AR6" s="20"/>
      <c r="AS6" s="20"/>
      <c r="AT6" s="20"/>
      <c r="AU6" s="22"/>
      <c r="AV6" s="22"/>
      <c r="AW6" s="22"/>
      <c r="AX6" s="22"/>
      <c r="AY6" s="22"/>
      <c r="AZ6" s="22"/>
      <c r="BA6" s="23"/>
      <c r="BB6" s="23"/>
      <c r="BC6" s="23"/>
      <c r="BD6" s="23"/>
      <c r="BE6" s="23"/>
      <c r="BF6" s="23"/>
    </row>
    <row r="7" spans="2:58" x14ac:dyDescent="0.2">
      <c r="B7" s="26" t="s">
        <v>40</v>
      </c>
      <c r="C7" s="6" t="s">
        <v>90</v>
      </c>
      <c r="D7" s="6">
        <v>1.9059222661658799</v>
      </c>
      <c r="E7" s="6">
        <f t="shared" si="5"/>
        <v>1905.9222661658798</v>
      </c>
      <c r="F7" s="72">
        <f t="shared" si="6"/>
        <v>0.58018942653451444</v>
      </c>
      <c r="G7" s="34">
        <v>1.37701972482862E-2</v>
      </c>
      <c r="H7" s="35">
        <v>1.3488226944517401E-2</v>
      </c>
      <c r="I7" s="35">
        <v>1.34828295682728E-2</v>
      </c>
      <c r="J7" s="35">
        <v>1.30192302941773E-2</v>
      </c>
      <c r="K7" s="38">
        <v>-1.14023707851883E-2</v>
      </c>
      <c r="L7" s="37">
        <v>-1.31570348227396E-2</v>
      </c>
      <c r="M7" s="45">
        <f t="shared" si="7"/>
        <v>26.244925545004797</v>
      </c>
      <c r="N7" s="46">
        <f t="shared" si="0"/>
        <v>25.707512064654285</v>
      </c>
      <c r="O7" s="46">
        <f t="shared" si="0"/>
        <v>25.697225085090828</v>
      </c>
      <c r="P7" s="46">
        <f t="shared" si="0"/>
        <v>24.813640906013873</v>
      </c>
      <c r="Q7" s="49">
        <f t="shared" si="0"/>
        <v>-21.732032366569708</v>
      </c>
      <c r="R7" s="48">
        <f t="shared" si="0"/>
        <v>-25.076285625379253</v>
      </c>
      <c r="S7" s="54">
        <v>116000</v>
      </c>
      <c r="T7" s="66">
        <f t="shared" si="1"/>
        <v>149071.59999999998</v>
      </c>
      <c r="U7" s="64">
        <f t="shared" si="8"/>
        <v>3912373.0428747367</v>
      </c>
      <c r="V7" s="68">
        <f t="shared" si="2"/>
        <v>3832259.955497317</v>
      </c>
      <c r="W7" s="68">
        <f t="shared" si="2"/>
        <v>3830726.4589946251</v>
      </c>
      <c r="X7" s="68">
        <f t="shared" si="2"/>
        <v>3699009.1516849371</v>
      </c>
      <c r="Y7" s="70">
        <f t="shared" si="2"/>
        <v>-3239628.8361363322</v>
      </c>
      <c r="Z7" s="70">
        <f t="shared" si="2"/>
        <v>-3738162.0202322854</v>
      </c>
      <c r="AA7" s="64">
        <f t="shared" si="9"/>
        <v>-17123997.83201398</v>
      </c>
      <c r="AB7" s="68">
        <f t="shared" si="3"/>
        <v>-18001963.422318317</v>
      </c>
      <c r="AC7" s="68">
        <f t="shared" si="3"/>
        <v>-18018769.130427815</v>
      </c>
      <c r="AD7" s="68">
        <f t="shared" si="3"/>
        <v>-19462269.402994305</v>
      </c>
      <c r="AE7" s="68">
        <f t="shared" si="3"/>
        <v>-95503345.790254354</v>
      </c>
      <c r="AF7" s="68">
        <f t="shared" si="3"/>
        <v>-100966809.94560623</v>
      </c>
      <c r="AG7" s="110">
        <f t="shared" si="10"/>
        <v>6.5206217381245615E-2</v>
      </c>
      <c r="AH7" s="106">
        <f t="shared" si="4"/>
        <v>6.387099925828861E-2</v>
      </c>
      <c r="AI7" s="106">
        <f t="shared" si="4"/>
        <v>6.3845440983243754E-2</v>
      </c>
      <c r="AJ7" s="106">
        <f t="shared" si="4"/>
        <v>6.1650152528082286E-2</v>
      </c>
      <c r="AK7" s="106">
        <f t="shared" si="4"/>
        <v>-5.3993813935605539E-2</v>
      </c>
      <c r="AL7" s="107">
        <f t="shared" si="4"/>
        <v>-6.2302700337204753E-2</v>
      </c>
      <c r="AM7" s="20"/>
      <c r="AN7" s="20"/>
      <c r="AO7" s="20"/>
      <c r="AP7" s="20"/>
      <c r="AQ7" s="20"/>
      <c r="AR7" s="20"/>
      <c r="AS7" s="20"/>
      <c r="AT7" s="20"/>
      <c r="AU7" s="22"/>
      <c r="AV7" s="22"/>
      <c r="AW7" s="22"/>
      <c r="AX7" s="22"/>
      <c r="AY7" s="22"/>
      <c r="AZ7" s="22"/>
      <c r="BA7" s="23"/>
      <c r="BB7" s="23"/>
      <c r="BC7" s="23"/>
      <c r="BD7" s="23"/>
      <c r="BE7" s="23"/>
      <c r="BF7" s="23"/>
    </row>
    <row r="8" spans="2:58" x14ac:dyDescent="0.2">
      <c r="B8" s="26" t="s">
        <v>2</v>
      </c>
      <c r="C8" s="6" t="s">
        <v>13</v>
      </c>
      <c r="D8" s="6">
        <v>1.7732180661340899</v>
      </c>
      <c r="E8" s="6">
        <f t="shared" si="5"/>
        <v>1773.2180661340899</v>
      </c>
      <c r="F8" s="72">
        <f t="shared" si="6"/>
        <v>0.53979240978206688</v>
      </c>
      <c r="G8" s="34">
        <v>1.1648024653615401E-2</v>
      </c>
      <c r="H8" s="35">
        <v>1.14133932355299E-2</v>
      </c>
      <c r="I8" s="35">
        <v>1.1043722041064701E-2</v>
      </c>
      <c r="J8" s="35">
        <v>8.9582249234933797E-3</v>
      </c>
      <c r="K8" s="38">
        <v>-7.9958758766205798E-2</v>
      </c>
      <c r="L8" s="37">
        <v>-7.9204073389645704E-2</v>
      </c>
      <c r="M8" s="45">
        <f t="shared" si="7"/>
        <v>20.654487750566105</v>
      </c>
      <c r="N8" s="46">
        <f t="shared" si="0"/>
        <v>20.238435081134234</v>
      </c>
      <c r="O8" s="46">
        <f t="shared" si="0"/>
        <v>19.582927440579173</v>
      </c>
      <c r="P8" s="46">
        <f t="shared" si="0"/>
        <v>15.884886274831135</v>
      </c>
      <c r="Q8" s="49">
        <f t="shared" si="0"/>
        <v>-141.78431558989365</v>
      </c>
      <c r="R8" s="48">
        <f t="shared" si="0"/>
        <v>-140.44609384593008</v>
      </c>
      <c r="S8" s="54">
        <v>116000</v>
      </c>
      <c r="T8" s="66">
        <f t="shared" si="1"/>
        <v>149071.59999999998</v>
      </c>
      <c r="U8" s="64">
        <f t="shared" si="8"/>
        <v>3078997.5361572895</v>
      </c>
      <c r="V8" s="68">
        <f t="shared" si="2"/>
        <v>3016975.8990408098</v>
      </c>
      <c r="W8" s="68">
        <f t="shared" si="2"/>
        <v>2919258.3262510416</v>
      </c>
      <c r="X8" s="68">
        <f t="shared" si="2"/>
        <v>2367985.4128071168</v>
      </c>
      <c r="Y8" s="70">
        <f t="shared" si="2"/>
        <v>-21136014.779890388</v>
      </c>
      <c r="Z8" s="70">
        <f t="shared" si="2"/>
        <v>-20936523.923362948</v>
      </c>
      <c r="AA8" s="64">
        <f t="shared" si="9"/>
        <v>-26257025.189371668</v>
      </c>
      <c r="AB8" s="68">
        <f t="shared" si="3"/>
        <v>-26936725.161313575</v>
      </c>
      <c r="AC8" s="68">
        <f t="shared" si="3"/>
        <v>-28007619.684118561</v>
      </c>
      <c r="AD8" s="68">
        <f t="shared" si="3"/>
        <v>-34049062.658228755</v>
      </c>
      <c r="AE8" s="68">
        <f t="shared" si="3"/>
        <v>-291631239.04444599</v>
      </c>
      <c r="AF8" s="68">
        <f t="shared" si="3"/>
        <v>-289445003.14535624</v>
      </c>
      <c r="AG8" s="110">
        <f t="shared" si="10"/>
        <v>5.1316625602621492E-2</v>
      </c>
      <c r="AH8" s="106">
        <f t="shared" si="4"/>
        <v>5.0282931650680165E-2</v>
      </c>
      <c r="AI8" s="106">
        <f t="shared" si="4"/>
        <v>4.8654305437517358E-2</v>
      </c>
      <c r="AJ8" s="106">
        <f t="shared" si="4"/>
        <v>3.9466423546785277E-2</v>
      </c>
      <c r="AK8" s="106">
        <f t="shared" si="4"/>
        <v>-0.35226691299817314</v>
      </c>
      <c r="AL8" s="107">
        <f t="shared" si="4"/>
        <v>-0.34894206538938249</v>
      </c>
      <c r="AM8" s="20"/>
      <c r="AN8" s="20"/>
      <c r="AO8" s="20"/>
      <c r="AP8" s="20"/>
      <c r="AQ8" s="20"/>
      <c r="AR8" s="20"/>
      <c r="AS8" s="20"/>
      <c r="AT8" s="20"/>
      <c r="AU8" s="22"/>
      <c r="AV8" s="22"/>
      <c r="AW8" s="22"/>
      <c r="AX8" s="22"/>
      <c r="AY8" s="22"/>
      <c r="AZ8" s="22"/>
      <c r="BA8" s="23"/>
      <c r="BB8" s="23"/>
      <c r="BC8" s="23"/>
      <c r="BD8" s="23"/>
      <c r="BE8" s="23"/>
      <c r="BF8" s="23"/>
    </row>
    <row r="9" spans="2:58" ht="17" thickBot="1" x14ac:dyDescent="0.25">
      <c r="B9" s="26" t="s">
        <v>3</v>
      </c>
      <c r="C9" s="6" t="s">
        <v>15</v>
      </c>
      <c r="D9" s="6">
        <v>2.2404575039568799</v>
      </c>
      <c r="E9" s="6">
        <f t="shared" si="5"/>
        <v>2240.4575039568799</v>
      </c>
      <c r="F9" s="72">
        <f t="shared" si="6"/>
        <v>0.68202663742979597</v>
      </c>
      <c r="G9" s="39">
        <v>5.4763157878435394E-3</v>
      </c>
      <c r="H9" s="40">
        <v>4.8156961501199099E-3</v>
      </c>
      <c r="I9" s="40">
        <v>4.8903637676298399E-3</v>
      </c>
      <c r="J9" s="41">
        <v>-1.27625488515937E-2</v>
      </c>
      <c r="K9" s="41">
        <v>-8.6788619208643697E-2</v>
      </c>
      <c r="L9" s="42">
        <v>-8.2549350383316802E-2</v>
      </c>
      <c r="M9" s="50">
        <f t="shared" si="7"/>
        <v>12.269452800911591</v>
      </c>
      <c r="N9" s="51">
        <f t="shared" si="0"/>
        <v>10.78936257631241</v>
      </c>
      <c r="O9" s="51">
        <f t="shared" si="0"/>
        <v>10.956652200265115</v>
      </c>
      <c r="P9" s="52">
        <f t="shared" si="0"/>
        <v>-28.593948344169366</v>
      </c>
      <c r="Q9" s="52">
        <f t="shared" si="0"/>
        <v>-194.44621316406199</v>
      </c>
      <c r="R9" s="53">
        <f t="shared" si="0"/>
        <v>-184.94831151306786</v>
      </c>
      <c r="S9" s="54">
        <v>116000</v>
      </c>
      <c r="T9" s="67">
        <f t="shared" si="1"/>
        <v>149071.59999999998</v>
      </c>
      <c r="U9" s="65">
        <f t="shared" si="8"/>
        <v>1829026.960156372</v>
      </c>
      <c r="V9" s="69">
        <f t="shared" si="2"/>
        <v>1608387.5422310128</v>
      </c>
      <c r="W9" s="69">
        <f t="shared" si="2"/>
        <v>1633325.6741370407</v>
      </c>
      <c r="X9" s="71">
        <f t="shared" si="2"/>
        <v>-4262545.6299826773</v>
      </c>
      <c r="Y9" s="71">
        <f t="shared" si="2"/>
        <v>-28986408.110307779</v>
      </c>
      <c r="Z9" s="71">
        <f t="shared" si="2"/>
        <v>-27570540.714551441</v>
      </c>
      <c r="AA9" s="65">
        <f t="shared" si="9"/>
        <v>-39955550.493378572</v>
      </c>
      <c r="AB9" s="69">
        <f t="shared" si="3"/>
        <v>-42373555.130881071</v>
      </c>
      <c r="AC9" s="69">
        <f t="shared" si="3"/>
        <v>-42100256.192883402</v>
      </c>
      <c r="AD9" s="69">
        <f t="shared" si="3"/>
        <v>-106713570.93749613</v>
      </c>
      <c r="AE9" s="69">
        <f t="shared" si="3"/>
        <v>-377664313.5406338</v>
      </c>
      <c r="AF9" s="69">
        <f t="shared" si="3"/>
        <v>-362147712.01394928</v>
      </c>
      <c r="AG9" s="110">
        <f t="shared" si="10"/>
        <v>3.0483782669272867E-2</v>
      </c>
      <c r="AH9" s="106">
        <f t="shared" si="4"/>
        <v>2.6806459037183546E-2</v>
      </c>
      <c r="AI9" s="106">
        <f t="shared" si="4"/>
        <v>2.722209456895068E-2</v>
      </c>
      <c r="AJ9" s="106">
        <f t="shared" si="4"/>
        <v>-7.1042427166377958E-2</v>
      </c>
      <c r="AK9" s="106">
        <f t="shared" si="4"/>
        <v>-0.483106801838463</v>
      </c>
      <c r="AL9" s="107">
        <f t="shared" si="4"/>
        <v>-0.45950901190919069</v>
      </c>
    </row>
    <row r="10" spans="2:58" x14ac:dyDescent="0.2">
      <c r="AA10" s="74" t="s">
        <v>103</v>
      </c>
      <c r="AB10" s="75"/>
      <c r="AC10" s="75"/>
      <c r="AD10" s="75"/>
      <c r="AE10" s="75"/>
      <c r="AF10" s="75"/>
      <c r="AG10" s="118" t="s">
        <v>136</v>
      </c>
      <c r="AH10" s="29" t="s">
        <v>137</v>
      </c>
      <c r="AI10" s="29"/>
      <c r="AJ10" s="29"/>
      <c r="AK10" s="29"/>
      <c r="AL10" s="30"/>
    </row>
    <row r="11" spans="2:58" x14ac:dyDescent="0.2">
      <c r="W11" t="s">
        <v>138</v>
      </c>
      <c r="AA11" s="60" t="s">
        <v>105</v>
      </c>
      <c r="AB11" s="61">
        <v>0.03</v>
      </c>
      <c r="AC11" s="85" t="s">
        <v>106</v>
      </c>
      <c r="AD11" s="85">
        <f>AD2</f>
        <v>20</v>
      </c>
      <c r="AE11" s="61"/>
      <c r="AF11" s="61"/>
      <c r="AG11" s="54"/>
      <c r="AH11" s="27"/>
      <c r="AI11" s="27"/>
      <c r="AJ11" s="27"/>
      <c r="AK11" s="27"/>
      <c r="AL11" s="119"/>
    </row>
    <row r="12" spans="2:58" x14ac:dyDescent="0.2">
      <c r="W12" t="s">
        <v>139</v>
      </c>
      <c r="AA12" s="60">
        <v>1</v>
      </c>
      <c r="AB12" s="61">
        <v>5</v>
      </c>
      <c r="AC12" s="61">
        <v>10</v>
      </c>
      <c r="AD12" s="61">
        <v>20</v>
      </c>
      <c r="AE12" s="61">
        <v>40</v>
      </c>
      <c r="AF12" s="61">
        <v>90</v>
      </c>
      <c r="AG12" s="60">
        <v>1</v>
      </c>
      <c r="AH12" s="61">
        <v>5</v>
      </c>
      <c r="AI12" s="61">
        <v>10</v>
      </c>
      <c r="AJ12" s="61">
        <v>20</v>
      </c>
      <c r="AK12" s="61">
        <v>40</v>
      </c>
      <c r="AL12" s="62">
        <v>90</v>
      </c>
    </row>
    <row r="13" spans="2:58" ht="17" thickBot="1" x14ac:dyDescent="0.25">
      <c r="Z13" s="26" t="s">
        <v>19</v>
      </c>
      <c r="AA13" s="77">
        <f>((U4/(1+$AB$2)^$AD$11)+AG21)*(1+$AB$11)^$AD$11</f>
        <v>35453807.58752013</v>
      </c>
      <c r="AB13" s="78">
        <f t="shared" ref="AB13:AF18" si="11">((V4/(1+$AB$2)^$AD$11)+AH21)*(1+$AB$11)^$AD$11</f>
        <v>35459196.167711824</v>
      </c>
      <c r="AC13" s="78">
        <f t="shared" si="11"/>
        <v>35456333.388827376</v>
      </c>
      <c r="AD13" s="78">
        <f t="shared" si="11"/>
        <v>35477713.44790522</v>
      </c>
      <c r="AE13" s="78">
        <f t="shared" si="11"/>
        <v>35378656.906905167</v>
      </c>
      <c r="AF13" s="78">
        <f t="shared" si="11"/>
        <v>35071431.754201464</v>
      </c>
      <c r="AG13" s="141">
        <f>IF(AG21/U4&gt;0,AG21/U4,"nan")</f>
        <v>3.1013578871774916</v>
      </c>
      <c r="AH13" s="122">
        <f t="shared" ref="AH13:AL18" si="12">IF(AH21/V4&gt;0,AH21/V4,"nan")</f>
        <v>3.0946909793951987</v>
      </c>
      <c r="AI13" s="122">
        <f t="shared" si="12"/>
        <v>3.0982293195168187</v>
      </c>
      <c r="AJ13" s="122">
        <f t="shared" si="12"/>
        <v>3.0719977499788693</v>
      </c>
      <c r="AK13" s="122">
        <f t="shared" si="12"/>
        <v>3.1974230283489864</v>
      </c>
      <c r="AL13" s="120">
        <f t="shared" si="12"/>
        <v>3.6610191463092119</v>
      </c>
    </row>
    <row r="14" spans="2:58" ht="17" thickBot="1" x14ac:dyDescent="0.25">
      <c r="D14" s="91"/>
      <c r="E14" s="151" t="s">
        <v>45</v>
      </c>
      <c r="F14" s="151"/>
      <c r="G14" s="151" t="s">
        <v>44</v>
      </c>
      <c r="H14" s="151" t="s">
        <v>59</v>
      </c>
      <c r="I14" s="151" t="s">
        <v>41</v>
      </c>
      <c r="J14" s="151" t="s">
        <v>60</v>
      </c>
      <c r="K14" s="151" t="s">
        <v>61</v>
      </c>
      <c r="L14" s="151" t="s">
        <v>69</v>
      </c>
      <c r="M14" s="151" t="s">
        <v>52</v>
      </c>
      <c r="N14" s="151" t="s">
        <v>78</v>
      </c>
      <c r="O14" s="151" t="s">
        <v>64</v>
      </c>
      <c r="P14" s="151" t="s">
        <v>63</v>
      </c>
      <c r="Q14" s="152" t="s">
        <v>62</v>
      </c>
      <c r="Z14" s="26" t="s">
        <v>1</v>
      </c>
      <c r="AA14" s="77">
        <f t="shared" ref="AA14:AA18" si="13">((U5/(1+$AB$2)^$AD$11)+AG22)*(1+$AB$11)^$AD$11</f>
        <v>111110883.24825285</v>
      </c>
      <c r="AB14" s="78">
        <f t="shared" si="11"/>
        <v>111121461.24536589</v>
      </c>
      <c r="AC14" s="78">
        <f t="shared" si="11"/>
        <v>111128556.56895287</v>
      </c>
      <c r="AD14" s="78">
        <f t="shared" si="11"/>
        <v>110915925.25927605</v>
      </c>
      <c r="AE14" s="78">
        <f t="shared" si="11"/>
        <v>110660419.61757138</v>
      </c>
      <c r="AF14" s="78">
        <f t="shared" si="11"/>
        <v>110500125.34359254</v>
      </c>
      <c r="AG14" s="141">
        <f t="shared" ref="AG14:AG18" si="14">IF(AG22/U5&gt;0,AG22/U5,"nan")</f>
        <v>9.2962811241692815</v>
      </c>
      <c r="AH14" s="122">
        <f t="shared" si="12"/>
        <v>9.2605847058994648</v>
      </c>
      <c r="AI14" s="122">
        <f t="shared" si="12"/>
        <v>9.2367941046121711</v>
      </c>
      <c r="AJ14" s="122">
        <f t="shared" si="12"/>
        <v>10.00722882825659</v>
      </c>
      <c r="AK14" s="122">
        <f t="shared" si="12"/>
        <v>11.121957285162971</v>
      </c>
      <c r="AL14" s="120">
        <f t="shared" si="12"/>
        <v>11.957592060988398</v>
      </c>
    </row>
    <row r="15" spans="2:58" x14ac:dyDescent="0.2">
      <c r="D15" s="91"/>
      <c r="E15" t="s">
        <v>46</v>
      </c>
      <c r="G15" s="3" t="s">
        <v>42</v>
      </c>
      <c r="H15" s="135"/>
      <c r="I15" t="s">
        <v>65</v>
      </c>
      <c r="J15" s="135"/>
      <c r="K15" t="s">
        <v>65</v>
      </c>
      <c r="L15">
        <v>6</v>
      </c>
      <c r="M15" t="s">
        <v>71</v>
      </c>
      <c r="N15" t="s">
        <v>224</v>
      </c>
      <c r="O15" t="s">
        <v>229</v>
      </c>
      <c r="P15" t="s">
        <v>222</v>
      </c>
      <c r="Q15" s="91" t="s">
        <v>223</v>
      </c>
      <c r="Z15" s="26" t="s">
        <v>0</v>
      </c>
      <c r="AA15" s="77">
        <f t="shared" si="13"/>
        <v>110656994.87572059</v>
      </c>
      <c r="AB15" s="78">
        <f t="shared" si="11"/>
        <v>110284764.86290075</v>
      </c>
      <c r="AC15" s="78">
        <f t="shared" si="11"/>
        <v>109926131.11553437</v>
      </c>
      <c r="AD15" s="78">
        <f t="shared" si="11"/>
        <v>108728327.9048017</v>
      </c>
      <c r="AE15" s="78">
        <f t="shared" si="11"/>
        <v>108519654.71919741</v>
      </c>
      <c r="AF15" s="78">
        <f t="shared" si="11"/>
        <v>104114292.90459944</v>
      </c>
      <c r="AG15" s="141">
        <f t="shared" si="14"/>
        <v>11.138588070095439</v>
      </c>
      <c r="AH15" s="122">
        <f t="shared" si="12"/>
        <v>13.300173338865942</v>
      </c>
      <c r="AI15" s="122">
        <f t="shared" si="12"/>
        <v>16.358860367078833</v>
      </c>
      <c r="AJ15" s="122">
        <f t="shared" si="12"/>
        <v>70.539665702917944</v>
      </c>
      <c r="AK15" s="122">
        <f t="shared" si="12"/>
        <v>166.75927131296154</v>
      </c>
      <c r="AL15" s="120" t="str">
        <f t="shared" si="12"/>
        <v>nan</v>
      </c>
    </row>
    <row r="16" spans="2:58" x14ac:dyDescent="0.2">
      <c r="D16" s="91"/>
      <c r="G16" s="15" t="s">
        <v>43</v>
      </c>
      <c r="H16" t="s">
        <v>219</v>
      </c>
      <c r="I16" t="s">
        <v>57</v>
      </c>
      <c r="J16" t="s">
        <v>221</v>
      </c>
      <c r="K16" t="s">
        <v>57</v>
      </c>
      <c r="L16">
        <v>7</v>
      </c>
      <c r="M16" t="s">
        <v>153</v>
      </c>
      <c r="N16" t="s">
        <v>220</v>
      </c>
      <c r="O16" s="135"/>
      <c r="P16" t="s">
        <v>71</v>
      </c>
      <c r="Q16" s="91" t="s">
        <v>225</v>
      </c>
      <c r="Z16" s="26" t="s">
        <v>40</v>
      </c>
      <c r="AA16" s="77">
        <f t="shared" si="13"/>
        <v>110030145.97223656</v>
      </c>
      <c r="AB16" s="78">
        <f t="shared" si="11"/>
        <v>109996083.30296166</v>
      </c>
      <c r="AC16" s="78">
        <f t="shared" si="11"/>
        <v>109995431.28734329</v>
      </c>
      <c r="AD16" s="78">
        <f t="shared" si="11"/>
        <v>109939427.41552231</v>
      </c>
      <c r="AE16" s="78">
        <f t="shared" si="11"/>
        <v>106989241.13841797</v>
      </c>
      <c r="AF16" s="78">
        <f t="shared" si="11"/>
        <v>106777273.63687336</v>
      </c>
      <c r="AG16" s="141">
        <f t="shared" si="14"/>
        <v>15.335960896999012</v>
      </c>
      <c r="AH16" s="122">
        <f t="shared" si="12"/>
        <v>15.65655793102734</v>
      </c>
      <c r="AI16" s="122">
        <f t="shared" si="12"/>
        <v>15.662825482910364</v>
      </c>
      <c r="AJ16" s="122">
        <f t="shared" si="12"/>
        <v>16.220560030966503</v>
      </c>
      <c r="AK16" s="122" t="str">
        <f t="shared" si="12"/>
        <v>nan</v>
      </c>
      <c r="AL16" s="120" t="str">
        <f t="shared" si="12"/>
        <v>nan</v>
      </c>
    </row>
    <row r="17" spans="4:38" x14ac:dyDescent="0.2">
      <c r="D17" s="91"/>
      <c r="Q17" s="91"/>
      <c r="Z17" s="26" t="s">
        <v>2</v>
      </c>
      <c r="AA17" s="77">
        <f t="shared" si="13"/>
        <v>109675809.43127447</v>
      </c>
      <c r="AB17" s="78">
        <f t="shared" si="11"/>
        <v>109649438.92700176</v>
      </c>
      <c r="AC17" s="78">
        <f t="shared" si="11"/>
        <v>109607891.14157438</v>
      </c>
      <c r="AD17" s="78">
        <f t="shared" si="11"/>
        <v>109373499.63894285</v>
      </c>
      <c r="AE17" s="78">
        <f t="shared" si="11"/>
        <v>99380014.037408128</v>
      </c>
      <c r="AF17" s="78">
        <f t="shared" si="11"/>
        <v>99464834.024899632</v>
      </c>
      <c r="AG17" s="141">
        <f t="shared" si="14"/>
        <v>19.486861972251646</v>
      </c>
      <c r="AH17" s="122">
        <f t="shared" si="12"/>
        <v>19.887464138866957</v>
      </c>
      <c r="AI17" s="122">
        <f t="shared" si="12"/>
        <v>20.55316566555895</v>
      </c>
      <c r="AJ17" s="122">
        <f t="shared" si="12"/>
        <v>25.337993923228307</v>
      </c>
      <c r="AK17" s="122" t="str">
        <f t="shared" si="12"/>
        <v>nan</v>
      </c>
      <c r="AL17" s="120" t="str">
        <f t="shared" si="12"/>
        <v>nan</v>
      </c>
    </row>
    <row r="18" spans="4:38" ht="17" thickBot="1" x14ac:dyDescent="0.25">
      <c r="D18" s="91"/>
      <c r="E18" t="s">
        <v>50</v>
      </c>
      <c r="G18" s="3" t="s">
        <v>51</v>
      </c>
      <c r="H18" t="s">
        <v>226</v>
      </c>
      <c r="I18" t="s">
        <v>65</v>
      </c>
      <c r="J18" s="135" t="s">
        <v>227</v>
      </c>
      <c r="K18" t="s">
        <v>65</v>
      </c>
      <c r="L18">
        <v>7</v>
      </c>
      <c r="M18" t="s">
        <v>71</v>
      </c>
      <c r="N18" s="135" t="s">
        <v>228</v>
      </c>
      <c r="O18" t="s">
        <v>71</v>
      </c>
      <c r="P18" t="s">
        <v>229</v>
      </c>
      <c r="Q18" s="153"/>
      <c r="Z18" s="26" t="s">
        <v>3</v>
      </c>
      <c r="AA18" s="80">
        <f t="shared" si="13"/>
        <v>109144344.02746254</v>
      </c>
      <c r="AB18" s="81">
        <f t="shared" si="11"/>
        <v>109050532.04532799</v>
      </c>
      <c r="AC18" s="81">
        <f t="shared" si="11"/>
        <v>109061135.29839508</v>
      </c>
      <c r="AD18" s="81">
        <f t="shared" si="11"/>
        <v>106554314.9910787</v>
      </c>
      <c r="AE18" s="81">
        <f t="shared" si="11"/>
        <v>96042165.497980133</v>
      </c>
      <c r="AF18" s="81">
        <f t="shared" si="11"/>
        <v>96644167.298404291</v>
      </c>
      <c r="AG18" s="142">
        <f t="shared" si="14"/>
        <v>32.804327824052585</v>
      </c>
      <c r="AH18" s="123">
        <f t="shared" si="12"/>
        <v>37.304442135117078</v>
      </c>
      <c r="AI18" s="123">
        <f t="shared" si="12"/>
        <v>36.73486613850033</v>
      </c>
      <c r="AJ18" s="123" t="str">
        <f>IF(AJ26/X9&gt;0,AJ26/X9,"nan")</f>
        <v>nan</v>
      </c>
      <c r="AK18" s="123" t="str">
        <f t="shared" si="12"/>
        <v>nan</v>
      </c>
      <c r="AL18" s="121" t="str">
        <f t="shared" si="12"/>
        <v>nan</v>
      </c>
    </row>
    <row r="19" spans="4:38" x14ac:dyDescent="0.2">
      <c r="D19" s="91"/>
      <c r="Q19" s="91"/>
      <c r="AA19" s="98" t="s">
        <v>143</v>
      </c>
      <c r="AB19" s="3"/>
      <c r="AC19" s="3"/>
      <c r="AD19" s="3"/>
      <c r="AE19" s="3"/>
      <c r="AF19" s="3"/>
      <c r="AG19" s="3" t="s">
        <v>109</v>
      </c>
      <c r="AH19" s="3"/>
      <c r="AI19" s="3"/>
      <c r="AJ19" s="3"/>
      <c r="AK19" s="3"/>
      <c r="AL19" s="3"/>
    </row>
    <row r="20" spans="4:38" x14ac:dyDescent="0.2">
      <c r="D20" s="91"/>
      <c r="Q20" s="91"/>
      <c r="AA20" s="3">
        <v>1</v>
      </c>
      <c r="AB20" s="3">
        <v>5</v>
      </c>
      <c r="AC20" s="3">
        <v>10</v>
      </c>
      <c r="AD20" s="3">
        <v>20</v>
      </c>
      <c r="AE20" s="3">
        <v>40</v>
      </c>
      <c r="AF20" s="3">
        <v>90</v>
      </c>
      <c r="AG20" s="3">
        <v>1</v>
      </c>
      <c r="AH20" s="3">
        <v>5</v>
      </c>
      <c r="AI20" s="3">
        <v>10</v>
      </c>
      <c r="AJ20" s="3">
        <v>20</v>
      </c>
      <c r="AK20" s="3">
        <v>40</v>
      </c>
      <c r="AL20" s="3">
        <v>90</v>
      </c>
    </row>
    <row r="21" spans="4:38" x14ac:dyDescent="0.2">
      <c r="D21" s="91"/>
      <c r="E21" t="s">
        <v>47</v>
      </c>
      <c r="G21" t="s">
        <v>48</v>
      </c>
      <c r="H21" t="s">
        <v>71</v>
      </c>
      <c r="I21" t="s">
        <v>58</v>
      </c>
      <c r="J21" t="s">
        <v>71</v>
      </c>
      <c r="K21" t="s">
        <v>58</v>
      </c>
      <c r="L21">
        <v>8</v>
      </c>
      <c r="M21" t="s">
        <v>71</v>
      </c>
      <c r="N21" t="s">
        <v>71</v>
      </c>
      <c r="O21" t="s">
        <v>71</v>
      </c>
      <c r="P21" t="s">
        <v>71</v>
      </c>
      <c r="Q21" s="91" t="s">
        <v>71</v>
      </c>
      <c r="Z21" s="26" t="s">
        <v>19</v>
      </c>
      <c r="AA21" s="112">
        <f>$AA$40</f>
        <v>113362000</v>
      </c>
      <c r="AB21" s="112">
        <f t="shared" ref="AB21:AF21" si="15">$AA$40</f>
        <v>113362000</v>
      </c>
      <c r="AC21" s="112">
        <f t="shared" si="15"/>
        <v>113362000</v>
      </c>
      <c r="AD21" s="112">
        <f t="shared" si="15"/>
        <v>113362000</v>
      </c>
      <c r="AE21" s="112">
        <f t="shared" si="15"/>
        <v>113362000</v>
      </c>
      <c r="AF21" s="112">
        <f t="shared" si="15"/>
        <v>113362000</v>
      </c>
      <c r="AG21" s="112">
        <f>AA29-AA21</f>
        <v>18245000</v>
      </c>
      <c r="AH21" s="112">
        <f t="shared" ref="AH21:AL26" si="16">AB29-AB21</f>
        <v>18245000</v>
      </c>
      <c r="AI21" s="112">
        <f t="shared" si="16"/>
        <v>18245000</v>
      </c>
      <c r="AJ21" s="112">
        <f t="shared" si="16"/>
        <v>18245000</v>
      </c>
      <c r="AK21" s="112">
        <f t="shared" si="16"/>
        <v>18245000</v>
      </c>
      <c r="AL21" s="112">
        <f t="shared" si="16"/>
        <v>18245000</v>
      </c>
    </row>
    <row r="22" spans="4:38" x14ac:dyDescent="0.2">
      <c r="D22" s="91"/>
      <c r="G22" s="3" t="s">
        <v>49</v>
      </c>
      <c r="H22" t="s">
        <v>234</v>
      </c>
      <c r="I22" t="s">
        <v>57</v>
      </c>
      <c r="K22" t="s">
        <v>66</v>
      </c>
      <c r="L22">
        <v>10</v>
      </c>
      <c r="M22" t="s">
        <v>230</v>
      </c>
      <c r="N22" t="s">
        <v>231</v>
      </c>
      <c r="O22" t="s">
        <v>232</v>
      </c>
      <c r="P22" t="s">
        <v>233</v>
      </c>
      <c r="Q22" s="91"/>
      <c r="Z22" s="26" t="s">
        <v>1</v>
      </c>
      <c r="AA22" s="112">
        <v>20000000</v>
      </c>
      <c r="AB22" s="112">
        <v>20000000</v>
      </c>
      <c r="AC22" s="112">
        <v>20000000</v>
      </c>
      <c r="AD22" s="112">
        <v>20000000</v>
      </c>
      <c r="AE22" s="112">
        <v>20000000</v>
      </c>
      <c r="AF22" s="112">
        <v>20000000</v>
      </c>
      <c r="AG22" s="112">
        <f t="shared" ref="AG22:AG26" si="17">AA30-AA22</f>
        <v>60000000</v>
      </c>
      <c r="AH22" s="112">
        <f t="shared" si="16"/>
        <v>60000000</v>
      </c>
      <c r="AI22" s="112">
        <f t="shared" si="16"/>
        <v>60000000</v>
      </c>
      <c r="AJ22" s="112">
        <f t="shared" si="16"/>
        <v>60000000</v>
      </c>
      <c r="AK22" s="112">
        <f t="shared" si="16"/>
        <v>60000000</v>
      </c>
      <c r="AL22" s="112">
        <f t="shared" si="16"/>
        <v>60000000</v>
      </c>
    </row>
    <row r="23" spans="4:38" x14ac:dyDescent="0.2">
      <c r="D23" s="91"/>
      <c r="G23" s="15" t="s">
        <v>54</v>
      </c>
      <c r="H23" t="s">
        <v>235</v>
      </c>
      <c r="I23" t="s">
        <v>67</v>
      </c>
      <c r="J23" t="s">
        <v>236</v>
      </c>
      <c r="K23" t="s">
        <v>68</v>
      </c>
      <c r="L23">
        <v>10</v>
      </c>
      <c r="M23" t="s">
        <v>237</v>
      </c>
      <c r="N23" t="s">
        <v>220</v>
      </c>
      <c r="O23" t="s">
        <v>220</v>
      </c>
      <c r="P23" t="s">
        <v>71</v>
      </c>
      <c r="Q23" s="91" t="s">
        <v>238</v>
      </c>
      <c r="Z23" s="26" t="s">
        <v>0</v>
      </c>
      <c r="AA23" s="112">
        <v>20000000</v>
      </c>
      <c r="AB23" s="112">
        <v>20000000</v>
      </c>
      <c r="AC23" s="112">
        <v>20000000</v>
      </c>
      <c r="AD23" s="112">
        <v>20000000</v>
      </c>
      <c r="AE23" s="112">
        <v>20000000</v>
      </c>
      <c r="AF23" s="112">
        <v>20000000</v>
      </c>
      <c r="AG23" s="112">
        <f t="shared" si="17"/>
        <v>60000000</v>
      </c>
      <c r="AH23" s="112">
        <f t="shared" si="16"/>
        <v>60000000</v>
      </c>
      <c r="AI23" s="112">
        <f t="shared" si="16"/>
        <v>60000000</v>
      </c>
      <c r="AJ23" s="112">
        <f t="shared" si="16"/>
        <v>60000000</v>
      </c>
      <c r="AK23" s="112">
        <f t="shared" si="16"/>
        <v>60000000</v>
      </c>
      <c r="AL23" s="112">
        <f t="shared" si="16"/>
        <v>60000000</v>
      </c>
    </row>
    <row r="24" spans="4:38" x14ac:dyDescent="0.2">
      <c r="D24" s="91"/>
      <c r="G24" s="17"/>
      <c r="Q24" s="91"/>
      <c r="Z24" s="26" t="s">
        <v>40</v>
      </c>
      <c r="AA24" s="112">
        <v>20000000</v>
      </c>
      <c r="AB24" s="112">
        <v>20000000</v>
      </c>
      <c r="AC24" s="112">
        <v>20000000</v>
      </c>
      <c r="AD24" s="112">
        <v>20000000</v>
      </c>
      <c r="AE24" s="112">
        <v>20000000</v>
      </c>
      <c r="AF24" s="112">
        <v>20000000</v>
      </c>
      <c r="AG24" s="112">
        <f t="shared" si="17"/>
        <v>60000000</v>
      </c>
      <c r="AH24" s="112">
        <f t="shared" si="16"/>
        <v>60000000</v>
      </c>
      <c r="AI24" s="112">
        <f t="shared" si="16"/>
        <v>60000000</v>
      </c>
      <c r="AJ24" s="112">
        <f t="shared" si="16"/>
        <v>60000000</v>
      </c>
      <c r="AK24" s="112">
        <f t="shared" si="16"/>
        <v>60000000</v>
      </c>
      <c r="AL24" s="112">
        <f t="shared" si="16"/>
        <v>60000000</v>
      </c>
    </row>
    <row r="25" spans="4:38" x14ac:dyDescent="0.2">
      <c r="D25" s="91"/>
      <c r="E25" t="s">
        <v>70</v>
      </c>
      <c r="G25" t="s">
        <v>53</v>
      </c>
      <c r="I25" t="s">
        <v>57</v>
      </c>
      <c r="K25" t="s">
        <v>57</v>
      </c>
      <c r="L25" t="s">
        <v>239</v>
      </c>
      <c r="Q25" s="91"/>
      <c r="Z25" s="26" t="s">
        <v>2</v>
      </c>
      <c r="AA25" s="112">
        <v>20000000</v>
      </c>
      <c r="AB25" s="112">
        <v>20000000</v>
      </c>
      <c r="AC25" s="112">
        <v>20000000</v>
      </c>
      <c r="AD25" s="112">
        <v>20000000</v>
      </c>
      <c r="AE25" s="112">
        <v>20000000</v>
      </c>
      <c r="AF25" s="112">
        <v>20000000</v>
      </c>
      <c r="AG25" s="112">
        <f t="shared" si="17"/>
        <v>60000000</v>
      </c>
      <c r="AH25" s="112">
        <f t="shared" si="16"/>
        <v>60000000</v>
      </c>
      <c r="AI25" s="112">
        <f t="shared" si="16"/>
        <v>60000000</v>
      </c>
      <c r="AJ25" s="112">
        <f t="shared" si="16"/>
        <v>60000000</v>
      </c>
      <c r="AK25" s="112">
        <f t="shared" si="16"/>
        <v>60000000</v>
      </c>
      <c r="AL25" s="112">
        <f t="shared" si="16"/>
        <v>60000000</v>
      </c>
    </row>
    <row r="26" spans="4:38" x14ac:dyDescent="0.2">
      <c r="D26" s="91"/>
      <c r="G26" t="s">
        <v>56</v>
      </c>
      <c r="I26" t="s">
        <v>57</v>
      </c>
      <c r="K26" t="s">
        <v>57</v>
      </c>
      <c r="L26" t="s">
        <v>239</v>
      </c>
      <c r="Q26" s="91"/>
      <c r="Z26" s="26" t="s">
        <v>3</v>
      </c>
      <c r="AA26" s="134">
        <v>20000000</v>
      </c>
      <c r="AB26" s="134">
        <v>20000000</v>
      </c>
      <c r="AC26" s="134">
        <v>20000000</v>
      </c>
      <c r="AD26" s="134">
        <v>20000000</v>
      </c>
      <c r="AE26" s="134">
        <v>20000000</v>
      </c>
      <c r="AF26" s="134">
        <v>20000000</v>
      </c>
      <c r="AG26" s="112">
        <f t="shared" si="17"/>
        <v>60000000</v>
      </c>
      <c r="AH26" s="112">
        <f t="shared" si="16"/>
        <v>60000000</v>
      </c>
      <c r="AI26" s="112">
        <f t="shared" si="16"/>
        <v>60000000</v>
      </c>
      <c r="AJ26" s="112">
        <f t="shared" si="16"/>
        <v>60000000</v>
      </c>
      <c r="AK26" s="112">
        <f t="shared" si="16"/>
        <v>60000000</v>
      </c>
      <c r="AL26" s="112">
        <f t="shared" si="16"/>
        <v>60000000</v>
      </c>
    </row>
    <row r="27" spans="4:38" ht="17" thickBot="1" x14ac:dyDescent="0.25">
      <c r="D27" s="91"/>
      <c r="E27" s="16"/>
      <c r="F27" s="16"/>
      <c r="G27" s="16" t="s">
        <v>55</v>
      </c>
      <c r="H27" s="16"/>
      <c r="I27" s="16" t="s">
        <v>57</v>
      </c>
      <c r="J27" s="16"/>
      <c r="K27" s="16" t="s">
        <v>57</v>
      </c>
      <c r="L27" s="16" t="s">
        <v>239</v>
      </c>
      <c r="M27" s="16"/>
      <c r="N27" s="16"/>
      <c r="O27" s="16"/>
      <c r="P27" s="16"/>
      <c r="Q27" s="92"/>
      <c r="AA27" s="3" t="s">
        <v>108</v>
      </c>
      <c r="AB27" s="3"/>
      <c r="AC27" s="3"/>
      <c r="AD27" s="3"/>
      <c r="AE27" s="3"/>
      <c r="AF27" s="3"/>
    </row>
    <row r="28" spans="4:38" x14ac:dyDescent="0.2">
      <c r="AA28" s="3">
        <v>1</v>
      </c>
      <c r="AB28" s="3">
        <v>5</v>
      </c>
      <c r="AC28" s="3">
        <v>10</v>
      </c>
      <c r="AD28" s="3">
        <v>20</v>
      </c>
      <c r="AE28" s="3">
        <v>40</v>
      </c>
      <c r="AF28" s="3">
        <v>90</v>
      </c>
      <c r="AH28" t="s">
        <v>169</v>
      </c>
    </row>
    <row r="29" spans="4:38" x14ac:dyDescent="0.2">
      <c r="Z29" s="26" t="s">
        <v>19</v>
      </c>
      <c r="AA29" s="112">
        <f>$AB$40</f>
        <v>131607000</v>
      </c>
      <c r="AB29" s="112">
        <f t="shared" ref="AB29:AF29" si="18">$AB$40</f>
        <v>131607000</v>
      </c>
      <c r="AC29" s="112">
        <f t="shared" si="18"/>
        <v>131607000</v>
      </c>
      <c r="AD29" s="112">
        <f t="shared" si="18"/>
        <v>131607000</v>
      </c>
      <c r="AE29" s="112">
        <f t="shared" si="18"/>
        <v>131607000</v>
      </c>
      <c r="AF29" s="112">
        <f t="shared" si="18"/>
        <v>131607000</v>
      </c>
      <c r="AH29" t="s">
        <v>170</v>
      </c>
      <c r="AK29" t="s">
        <v>171</v>
      </c>
    </row>
    <row r="30" spans="4:38" x14ac:dyDescent="0.2">
      <c r="Z30" s="26" t="s">
        <v>1</v>
      </c>
      <c r="AA30" s="112">
        <v>80000000</v>
      </c>
      <c r="AB30" s="112">
        <v>80000000</v>
      </c>
      <c r="AC30" s="112">
        <v>80000000</v>
      </c>
      <c r="AD30" s="112">
        <v>80000000</v>
      </c>
      <c r="AE30" s="112">
        <v>80000000</v>
      </c>
      <c r="AF30" s="112">
        <v>80000000</v>
      </c>
      <c r="AH30" t="s">
        <v>156</v>
      </c>
      <c r="AI30" s="113">
        <v>0.5</v>
      </c>
      <c r="AK30" t="s">
        <v>161</v>
      </c>
      <c r="AL30" s="14">
        <f>F4</f>
        <v>0.50523336824274578</v>
      </c>
    </row>
    <row r="31" spans="4:38" x14ac:dyDescent="0.2">
      <c r="Z31" s="26" t="s">
        <v>0</v>
      </c>
      <c r="AA31" s="112">
        <v>80000000</v>
      </c>
      <c r="AB31" s="112">
        <v>80000000</v>
      </c>
      <c r="AC31" s="112">
        <v>80000000</v>
      </c>
      <c r="AD31" s="112">
        <v>80000000</v>
      </c>
      <c r="AE31" s="112">
        <v>80000000</v>
      </c>
      <c r="AF31" s="112">
        <v>80000000</v>
      </c>
      <c r="AH31" t="s">
        <v>154</v>
      </c>
      <c r="AI31" s="144">
        <v>0.01</v>
      </c>
      <c r="AK31" t="s">
        <v>154</v>
      </c>
      <c r="AL31" s="14">
        <f>G4</f>
        <v>2.3777690494981896E-2</v>
      </c>
    </row>
    <row r="32" spans="4:38" x14ac:dyDescent="0.2">
      <c r="Z32" s="26" t="s">
        <v>40</v>
      </c>
      <c r="AA32" s="112">
        <v>80000000</v>
      </c>
      <c r="AB32" s="112">
        <v>80000000</v>
      </c>
      <c r="AC32" s="112">
        <v>80000000</v>
      </c>
      <c r="AD32" s="112">
        <v>80000000</v>
      </c>
      <c r="AE32" s="112">
        <v>80000000</v>
      </c>
      <c r="AF32" s="112">
        <v>80000000</v>
      </c>
      <c r="AH32" t="s">
        <v>157</v>
      </c>
      <c r="AI32" s="113">
        <f>AI30+AI31</f>
        <v>0.51</v>
      </c>
      <c r="AK32" t="s">
        <v>157</v>
      </c>
      <c r="AL32" s="14">
        <f>AL30+AL31</f>
        <v>0.52901105873772769</v>
      </c>
    </row>
    <row r="33" spans="3:39" x14ac:dyDescent="0.2">
      <c r="C33">
        <v>15</v>
      </c>
      <c r="E33" t="s">
        <v>96</v>
      </c>
      <c r="Z33" s="26" t="s">
        <v>2</v>
      </c>
      <c r="AA33" s="112">
        <v>80000000</v>
      </c>
      <c r="AB33" s="112">
        <v>80000000</v>
      </c>
      <c r="AC33" s="112">
        <v>80000000</v>
      </c>
      <c r="AD33" s="112">
        <v>80000000</v>
      </c>
      <c r="AE33" s="112">
        <v>80000000</v>
      </c>
      <c r="AF33" s="112">
        <v>80000000</v>
      </c>
      <c r="AH33" t="s">
        <v>155</v>
      </c>
      <c r="AI33" s="145">
        <v>650</v>
      </c>
      <c r="AJ33" t="s">
        <v>158</v>
      </c>
      <c r="AK33" t="s">
        <v>155</v>
      </c>
      <c r="AL33">
        <f>15*25/1000</f>
        <v>0.375</v>
      </c>
      <c r="AM33" t="s">
        <v>158</v>
      </c>
    </row>
    <row r="34" spans="3:39" x14ac:dyDescent="0.2">
      <c r="C34">
        <v>25</v>
      </c>
      <c r="E34" t="s">
        <v>97</v>
      </c>
      <c r="Z34" s="26" t="s">
        <v>3</v>
      </c>
      <c r="AA34" s="112">
        <v>80000000</v>
      </c>
      <c r="AB34" s="112">
        <v>80000000</v>
      </c>
      <c r="AC34" s="112">
        <v>80000000</v>
      </c>
      <c r="AD34" s="112">
        <v>80000000</v>
      </c>
      <c r="AE34" s="112">
        <v>80000000</v>
      </c>
      <c r="AF34" s="112">
        <v>80000000</v>
      </c>
      <c r="AH34" t="s">
        <v>164</v>
      </c>
      <c r="AI34">
        <f>365*24*AI30*AI33</f>
        <v>2847000</v>
      </c>
      <c r="AJ34" t="s">
        <v>160</v>
      </c>
      <c r="AK34" t="s">
        <v>164</v>
      </c>
      <c r="AL34">
        <f>365*24*AL30*$AL$33</f>
        <v>1659.6916146774199</v>
      </c>
      <c r="AM34" t="s">
        <v>160</v>
      </c>
    </row>
    <row r="35" spans="3:39" x14ac:dyDescent="0.2">
      <c r="C35">
        <v>0.5</v>
      </c>
      <c r="E35" t="s">
        <v>98</v>
      </c>
      <c r="AH35" t="s">
        <v>162</v>
      </c>
      <c r="AI35">
        <f>365*24*AI33*AI31</f>
        <v>56940</v>
      </c>
      <c r="AJ35" t="s">
        <v>160</v>
      </c>
      <c r="AK35" t="s">
        <v>162</v>
      </c>
      <c r="AL35">
        <f>365*24*AL31*$AL$33</f>
        <v>78.109713276015526</v>
      </c>
      <c r="AM35" t="s">
        <v>160</v>
      </c>
    </row>
    <row r="36" spans="3:39" x14ac:dyDescent="0.2">
      <c r="C36">
        <f>C33*C34*C35*365*24</f>
        <v>1642500</v>
      </c>
      <c r="E36" t="s">
        <v>99</v>
      </c>
      <c r="AH36" t="s">
        <v>163</v>
      </c>
      <c r="AI36">
        <f>365*24*AI33*AI32</f>
        <v>2903940</v>
      </c>
      <c r="AJ36" t="s">
        <v>160</v>
      </c>
      <c r="AK36" t="s">
        <v>163</v>
      </c>
      <c r="AL36">
        <f>365*24*AL32*$AL$33</f>
        <v>1737.8013279534352</v>
      </c>
      <c r="AM36" t="s">
        <v>160</v>
      </c>
    </row>
    <row r="37" spans="3:39" x14ac:dyDescent="0.2">
      <c r="C37">
        <f>C36/1000</f>
        <v>1642.5</v>
      </c>
      <c r="E37" t="s">
        <v>100</v>
      </c>
      <c r="AA37" t="s">
        <v>144</v>
      </c>
      <c r="AB37" t="s">
        <v>145</v>
      </c>
      <c r="AC37" t="s">
        <v>148</v>
      </c>
      <c r="AH37" t="s">
        <v>159</v>
      </c>
      <c r="AI37" s="146">
        <v>1100000000</v>
      </c>
      <c r="AK37" t="s">
        <v>159</v>
      </c>
      <c r="AL37" s="103">
        <f>AI37/AI35*AL35</f>
        <v>1508968.819873851</v>
      </c>
    </row>
    <row r="38" spans="3:39" x14ac:dyDescent="0.2">
      <c r="Z38" t="s">
        <v>146</v>
      </c>
      <c r="AA38" s="102">
        <v>88362000</v>
      </c>
      <c r="AB38" s="102">
        <v>93607000</v>
      </c>
      <c r="AC38" s="102">
        <f>AB38-AA38</f>
        <v>5245000</v>
      </c>
      <c r="AH38" t="s">
        <v>165</v>
      </c>
      <c r="AI38">
        <v>20</v>
      </c>
      <c r="AJ38" t="s">
        <v>167</v>
      </c>
      <c r="AK38" t="s">
        <v>165</v>
      </c>
      <c r="AL38">
        <v>20</v>
      </c>
      <c r="AM38" t="s">
        <v>167</v>
      </c>
    </row>
    <row r="39" spans="3:39" x14ac:dyDescent="0.2">
      <c r="Z39" t="s">
        <v>147</v>
      </c>
      <c r="AA39" s="102">
        <v>25000000</v>
      </c>
      <c r="AB39" s="102">
        <v>38000000</v>
      </c>
      <c r="AC39" s="102">
        <f>AB39-AA39</f>
        <v>13000000</v>
      </c>
      <c r="AK39" t="s">
        <v>166</v>
      </c>
      <c r="AL39">
        <v>146</v>
      </c>
      <c r="AM39" t="s">
        <v>167</v>
      </c>
    </row>
    <row r="40" spans="3:39" x14ac:dyDescent="0.2">
      <c r="Z40" t="s">
        <v>149</v>
      </c>
      <c r="AA40" s="103">
        <f>SUM(AA38:AA39)</f>
        <v>113362000</v>
      </c>
      <c r="AB40" s="103">
        <f>SUM(AB38:AB39)</f>
        <v>131607000</v>
      </c>
      <c r="AC40" s="103">
        <f>SUM(AC38:AC39)</f>
        <v>18245000</v>
      </c>
      <c r="AK40" t="s">
        <v>168</v>
      </c>
      <c r="AL40" s="103">
        <f>AL37/AL38*AL39</f>
        <v>11015472.385079112</v>
      </c>
    </row>
    <row r="51" spans="7:19" ht="17" thickBot="1" x14ac:dyDescent="0.25"/>
    <row r="52" spans="7:19" x14ac:dyDescent="0.2">
      <c r="G52" s="124" t="s">
        <v>5</v>
      </c>
      <c r="H52" s="93"/>
      <c r="I52" s="93"/>
      <c r="J52" s="93"/>
      <c r="K52" s="93"/>
      <c r="L52" s="93"/>
      <c r="M52" s="93"/>
      <c r="N52" s="133" t="s">
        <v>142</v>
      </c>
      <c r="O52" s="93"/>
      <c r="P52" s="93"/>
      <c r="Q52" s="93"/>
      <c r="R52" s="93"/>
      <c r="S52" s="94"/>
    </row>
    <row r="53" spans="7:19" x14ac:dyDescent="0.2">
      <c r="G53" s="125" t="s">
        <v>4</v>
      </c>
      <c r="H53" s="4">
        <v>1</v>
      </c>
      <c r="I53" s="4">
        <v>5</v>
      </c>
      <c r="J53" s="4">
        <v>10</v>
      </c>
      <c r="K53" s="4">
        <v>20</v>
      </c>
      <c r="L53" s="4">
        <v>40</v>
      </c>
      <c r="M53" s="4">
        <v>90</v>
      </c>
      <c r="N53" s="125">
        <v>1</v>
      </c>
      <c r="O53" s="4">
        <v>5</v>
      </c>
      <c r="P53" s="4">
        <v>10</v>
      </c>
      <c r="Q53" s="4">
        <v>20</v>
      </c>
      <c r="R53" s="4">
        <v>40</v>
      </c>
      <c r="S53" s="126">
        <v>90</v>
      </c>
    </row>
    <row r="54" spans="7:19" x14ac:dyDescent="0.2">
      <c r="G54" s="95" t="s">
        <v>12</v>
      </c>
      <c r="H54" s="3">
        <v>3215</v>
      </c>
      <c r="I54" s="3">
        <v>1826</v>
      </c>
      <c r="J54" s="3">
        <v>1291</v>
      </c>
      <c r="K54" s="3">
        <v>929</v>
      </c>
      <c r="L54" s="3">
        <v>633</v>
      </c>
      <c r="M54" s="3">
        <v>380</v>
      </c>
      <c r="N54" s="131">
        <f>H54*2/365</f>
        <v>17.616438356164384</v>
      </c>
      <c r="O54" s="127">
        <f t="shared" ref="O54:S58" si="19">I54*2/365</f>
        <v>10.005479452054795</v>
      </c>
      <c r="P54" s="127">
        <f t="shared" si="19"/>
        <v>7.0739726027397261</v>
      </c>
      <c r="Q54" s="127">
        <f t="shared" si="19"/>
        <v>5.0904109589041093</v>
      </c>
      <c r="R54" s="127">
        <f t="shared" si="19"/>
        <v>3.4684931506849317</v>
      </c>
      <c r="S54" s="128">
        <f>M54*2/365</f>
        <v>2.0821917808219177</v>
      </c>
    </row>
    <row r="55" spans="7:19" x14ac:dyDescent="0.2">
      <c r="G55" s="95"/>
      <c r="H55" s="3">
        <v>3245</v>
      </c>
      <c r="I55" s="3">
        <v>1766</v>
      </c>
      <c r="J55" s="3">
        <v>1110</v>
      </c>
      <c r="K55" s="3">
        <v>596</v>
      </c>
      <c r="L55" s="3">
        <v>292</v>
      </c>
      <c r="M55" s="3">
        <v>110</v>
      </c>
      <c r="N55" s="131">
        <f t="shared" ref="N55:N58" si="20">H55*2/365</f>
        <v>17.780821917808218</v>
      </c>
      <c r="O55" s="127">
        <f t="shared" si="19"/>
        <v>9.6767123287671239</v>
      </c>
      <c r="P55" s="127">
        <f t="shared" si="19"/>
        <v>6.0821917808219181</v>
      </c>
      <c r="Q55" s="127">
        <f t="shared" si="19"/>
        <v>3.2657534246575342</v>
      </c>
      <c r="R55" s="127">
        <f t="shared" si="19"/>
        <v>1.6</v>
      </c>
      <c r="S55" s="128">
        <f t="shared" si="19"/>
        <v>0.60273972602739723</v>
      </c>
    </row>
    <row r="56" spans="7:19" x14ac:dyDescent="0.2">
      <c r="G56" s="95"/>
      <c r="H56" s="3">
        <v>3070</v>
      </c>
      <c r="I56" s="3">
        <v>1646</v>
      </c>
      <c r="J56" s="3">
        <v>1044</v>
      </c>
      <c r="K56" s="3">
        <v>582</v>
      </c>
      <c r="L56" s="3">
        <v>314</v>
      </c>
      <c r="M56" s="3">
        <v>158</v>
      </c>
      <c r="N56" s="131">
        <f t="shared" si="20"/>
        <v>16.82191780821918</v>
      </c>
      <c r="O56" s="127">
        <f t="shared" si="19"/>
        <v>9.0191780821917806</v>
      </c>
      <c r="P56" s="127">
        <f t="shared" si="19"/>
        <v>5.720547945205479</v>
      </c>
      <c r="Q56" s="127">
        <f t="shared" si="19"/>
        <v>3.1890410958904107</v>
      </c>
      <c r="R56" s="127">
        <f t="shared" si="19"/>
        <v>1.7205479452054795</v>
      </c>
      <c r="S56" s="128">
        <f t="shared" si="19"/>
        <v>0.86575342465753424</v>
      </c>
    </row>
    <row r="57" spans="7:19" x14ac:dyDescent="0.2">
      <c r="G57" s="95"/>
      <c r="H57" s="3">
        <v>3062</v>
      </c>
      <c r="I57" s="3">
        <v>1512</v>
      </c>
      <c r="J57" s="3">
        <v>905</v>
      </c>
      <c r="K57" s="3">
        <v>472</v>
      </c>
      <c r="L57" s="3">
        <v>233</v>
      </c>
      <c r="M57" s="3">
        <v>111</v>
      </c>
      <c r="N57" s="131">
        <f t="shared" si="20"/>
        <v>16.778082191780822</v>
      </c>
      <c r="O57" s="127">
        <f t="shared" si="19"/>
        <v>8.2849315068493148</v>
      </c>
      <c r="P57" s="127">
        <f t="shared" si="19"/>
        <v>4.9589041095890414</v>
      </c>
      <c r="Q57" s="127">
        <f t="shared" si="19"/>
        <v>2.5863013698630137</v>
      </c>
      <c r="R57" s="127">
        <f t="shared" si="19"/>
        <v>1.2767123287671234</v>
      </c>
      <c r="S57" s="128">
        <f t="shared" si="19"/>
        <v>0.60821917808219184</v>
      </c>
    </row>
    <row r="58" spans="7:19" ht="17" thickBot="1" x14ac:dyDescent="0.25">
      <c r="G58" s="96"/>
      <c r="H58" s="97">
        <v>2825</v>
      </c>
      <c r="I58" s="97">
        <v>1348</v>
      </c>
      <c r="J58" s="97">
        <v>804</v>
      </c>
      <c r="K58" s="97">
        <v>441</v>
      </c>
      <c r="L58" s="97">
        <v>217</v>
      </c>
      <c r="M58" s="97">
        <v>117</v>
      </c>
      <c r="N58" s="132">
        <f t="shared" si="20"/>
        <v>15.479452054794521</v>
      </c>
      <c r="O58" s="129">
        <f t="shared" si="19"/>
        <v>7.3863013698630136</v>
      </c>
      <c r="P58" s="129">
        <f t="shared" si="19"/>
        <v>4.4054794520547942</v>
      </c>
      <c r="Q58" s="129">
        <f t="shared" si="19"/>
        <v>2.4164383561643836</v>
      </c>
      <c r="R58" s="129">
        <f t="shared" si="19"/>
        <v>1.189041095890411</v>
      </c>
      <c r="S58" s="130">
        <f t="shared" si="19"/>
        <v>0.64109589041095894</v>
      </c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F1A9-455A-0649-AD7E-960B8CF473FD}">
  <dimension ref="B1:BF37"/>
  <sheetViews>
    <sheetView topLeftCell="H1" workbookViewId="0">
      <selection activeCell="G4" sqref="G4"/>
    </sheetView>
  </sheetViews>
  <sheetFormatPr baseColWidth="10" defaultColWidth="8.83203125" defaultRowHeight="16" x14ac:dyDescent="0.2"/>
  <cols>
    <col min="2" max="2" width="15" customWidth="1"/>
    <col min="3" max="3" width="17.5" customWidth="1"/>
    <col min="4" max="4" width="27.83203125" bestFit="1" customWidth="1"/>
    <col min="5" max="6" width="17.5" customWidth="1"/>
    <col min="20" max="20" width="12.5" bestFit="1" customWidth="1"/>
    <col min="21" max="21" width="18.83203125" bestFit="1" customWidth="1"/>
    <col min="22" max="23" width="13.6640625" bestFit="1" customWidth="1"/>
    <col min="24" max="24" width="13.33203125" bestFit="1" customWidth="1"/>
    <col min="25" max="26" width="14.33203125" bestFit="1" customWidth="1"/>
    <col min="27" max="27" width="15.83203125" bestFit="1" customWidth="1"/>
    <col min="28" max="28" width="14.6640625" bestFit="1" customWidth="1"/>
    <col min="29" max="29" width="15" bestFit="1" customWidth="1"/>
    <col min="30" max="30" width="15.5" bestFit="1" customWidth="1"/>
    <col min="31" max="32" width="15.33203125" bestFit="1" customWidth="1"/>
    <col min="33" max="33" width="14.83203125" customWidth="1"/>
    <col min="34" max="38" width="15" bestFit="1" customWidth="1"/>
  </cols>
  <sheetData>
    <row r="1" spans="2:58" ht="27" x14ac:dyDescent="0.35">
      <c r="G1" s="28" t="s">
        <v>79</v>
      </c>
      <c r="H1" s="29"/>
      <c r="I1" s="29"/>
      <c r="J1" s="29"/>
      <c r="K1" s="29"/>
      <c r="L1" s="30"/>
      <c r="M1" s="116" t="s">
        <v>80</v>
      </c>
      <c r="N1" s="43"/>
      <c r="O1" s="43"/>
      <c r="P1" s="43"/>
      <c r="Q1" s="43"/>
      <c r="R1" s="44"/>
      <c r="S1" s="58" t="s">
        <v>81</v>
      </c>
      <c r="T1" s="59"/>
      <c r="U1" s="58" t="s">
        <v>91</v>
      </c>
      <c r="V1" s="27" t="e" vm="1">
        <v>#VALUE!</v>
      </c>
      <c r="W1" s="66" cm="1">
        <f t="array" ref="W1">_FV(V1,"Previous close",TRUE)</f>
        <v>1.2850999999999999</v>
      </c>
      <c r="X1" s="59"/>
      <c r="Y1" s="59"/>
      <c r="Z1" s="59"/>
      <c r="AA1" s="83" t="s">
        <v>76</v>
      </c>
      <c r="AB1" s="43" t="s">
        <v>110</v>
      </c>
      <c r="AC1" s="59" t="s">
        <v>111</v>
      </c>
      <c r="AD1" s="99" t="s">
        <v>112</v>
      </c>
      <c r="AE1" s="59"/>
      <c r="AF1" s="43"/>
      <c r="AG1" s="83" t="s">
        <v>77</v>
      </c>
      <c r="AH1" s="115" t="s">
        <v>135</v>
      </c>
      <c r="AI1" s="43"/>
      <c r="AJ1" s="43"/>
      <c r="AK1" s="43"/>
      <c r="AL1" s="44"/>
      <c r="AM1" s="19" t="s">
        <v>82</v>
      </c>
    </row>
    <row r="2" spans="2:58" x14ac:dyDescent="0.2">
      <c r="G2" s="57" t="s">
        <v>83</v>
      </c>
      <c r="H2" s="8"/>
      <c r="I2" s="8"/>
      <c r="J2" s="8"/>
      <c r="K2" s="8"/>
      <c r="L2" s="31"/>
      <c r="M2" s="9" t="s">
        <v>84</v>
      </c>
      <c r="N2" s="8"/>
      <c r="O2" s="8"/>
      <c r="P2" s="8"/>
      <c r="Q2" s="8"/>
      <c r="R2" s="31"/>
      <c r="S2" s="32" t="s">
        <v>85</v>
      </c>
      <c r="T2" s="18" t="s">
        <v>92</v>
      </c>
      <c r="U2" s="32" t="s">
        <v>84</v>
      </c>
      <c r="V2" s="18"/>
      <c r="W2" s="18"/>
      <c r="X2" s="18"/>
      <c r="Y2" s="18"/>
      <c r="Z2" s="18"/>
      <c r="AA2" s="84" t="s">
        <v>104</v>
      </c>
      <c r="AB2" s="85">
        <v>7.4999999999999997E-2</v>
      </c>
      <c r="AC2" s="85" t="s">
        <v>106</v>
      </c>
      <c r="AD2" s="85">
        <v>20</v>
      </c>
      <c r="AE2" s="18"/>
      <c r="AF2" s="18"/>
      <c r="AG2" s="86" t="s">
        <v>106</v>
      </c>
      <c r="AH2" s="87">
        <f>AD2</f>
        <v>20</v>
      </c>
      <c r="AI2" s="18"/>
      <c r="AJ2" s="18"/>
      <c r="AK2" s="18"/>
      <c r="AL2" s="33"/>
      <c r="AM2" s="19"/>
      <c r="AN2" s="20"/>
      <c r="AO2" s="20"/>
      <c r="AP2" s="20"/>
      <c r="AQ2" s="20"/>
      <c r="AR2" s="20"/>
      <c r="AS2" s="20"/>
      <c r="AT2" s="20"/>
      <c r="AU2" s="21" t="s">
        <v>86</v>
      </c>
      <c r="AV2" s="22"/>
      <c r="AW2" s="22"/>
      <c r="AX2" s="22"/>
      <c r="AY2" s="22"/>
      <c r="AZ2" s="22"/>
      <c r="BA2" s="23" t="s">
        <v>87</v>
      </c>
      <c r="BB2" s="23"/>
      <c r="BC2" s="23"/>
      <c r="BD2" s="23"/>
      <c r="BE2" s="23"/>
      <c r="BF2" s="23"/>
    </row>
    <row r="3" spans="2:58" ht="17" thickBot="1" x14ac:dyDescent="0.25">
      <c r="B3" s="3"/>
      <c r="C3" s="24" t="s">
        <v>8</v>
      </c>
      <c r="D3" s="25" t="s">
        <v>101</v>
      </c>
      <c r="E3" s="25" t="s">
        <v>88</v>
      </c>
      <c r="F3" s="25" t="s">
        <v>95</v>
      </c>
      <c r="G3" s="32">
        <v>1</v>
      </c>
      <c r="H3" s="18">
        <v>5</v>
      </c>
      <c r="I3" s="18">
        <v>10</v>
      </c>
      <c r="J3" s="18">
        <v>20</v>
      </c>
      <c r="K3" s="18">
        <v>40</v>
      </c>
      <c r="L3" s="33">
        <v>90</v>
      </c>
      <c r="M3" s="18">
        <v>1</v>
      </c>
      <c r="N3" s="18">
        <v>5</v>
      </c>
      <c r="O3" s="18">
        <v>10</v>
      </c>
      <c r="P3" s="18">
        <v>20</v>
      </c>
      <c r="Q3" s="18">
        <v>40</v>
      </c>
      <c r="R3" s="33">
        <v>90</v>
      </c>
      <c r="S3" s="54" t="s">
        <v>94</v>
      </c>
      <c r="T3" s="66" t="s">
        <v>93</v>
      </c>
      <c r="U3" s="60">
        <v>1</v>
      </c>
      <c r="V3" s="61">
        <v>5</v>
      </c>
      <c r="W3" s="61">
        <v>10</v>
      </c>
      <c r="X3" s="61">
        <v>20</v>
      </c>
      <c r="Y3" s="61">
        <v>40</v>
      </c>
      <c r="Z3" s="61">
        <v>90</v>
      </c>
      <c r="AA3" s="60">
        <v>1</v>
      </c>
      <c r="AB3" s="61">
        <v>5</v>
      </c>
      <c r="AC3" s="61">
        <v>10</v>
      </c>
      <c r="AD3" s="61">
        <v>20</v>
      </c>
      <c r="AE3" s="61">
        <v>40</v>
      </c>
      <c r="AF3" s="61">
        <v>90</v>
      </c>
      <c r="AG3" s="60">
        <v>1</v>
      </c>
      <c r="AH3" s="61">
        <v>5</v>
      </c>
      <c r="AI3" s="61">
        <v>10</v>
      </c>
      <c r="AJ3" s="61">
        <v>20</v>
      </c>
      <c r="AK3" s="61">
        <v>40</v>
      </c>
      <c r="AL3" s="62">
        <v>90</v>
      </c>
      <c r="AM3" s="20"/>
      <c r="AN3" s="20"/>
      <c r="AO3" s="20"/>
      <c r="AP3" s="20"/>
      <c r="AQ3" s="20"/>
      <c r="AR3" s="20"/>
      <c r="AS3" s="20"/>
      <c r="AT3" s="20"/>
      <c r="AU3" s="22"/>
      <c r="AV3" s="22"/>
      <c r="AW3" s="22"/>
      <c r="AX3" s="22"/>
      <c r="AY3" s="22"/>
      <c r="AZ3" s="22"/>
      <c r="BA3" s="23" t="s">
        <v>89</v>
      </c>
      <c r="BB3" s="23"/>
      <c r="BC3" s="23"/>
      <c r="BD3" s="23"/>
      <c r="BE3" s="23"/>
      <c r="BF3" s="23"/>
    </row>
    <row r="4" spans="2:58" x14ac:dyDescent="0.2">
      <c r="B4" s="26" t="s">
        <v>19</v>
      </c>
      <c r="C4" s="6" t="s">
        <v>9</v>
      </c>
      <c r="D4" s="6">
        <v>1.6596916146774201</v>
      </c>
      <c r="E4" s="6">
        <f>D4*1000</f>
        <v>1659.6916146774201</v>
      </c>
      <c r="F4" s="72">
        <f>D4/(15*25/1000000*365*24)</f>
        <v>0.50523336824274578</v>
      </c>
      <c r="G4" s="34">
        <f>2*'Finance Main'!G4</f>
        <v>4.7555380989963793E-2</v>
      </c>
      <c r="H4" s="35">
        <f>2*'Finance Main'!H4</f>
        <v>4.7657829777814603E-2</v>
      </c>
      <c r="I4" s="35">
        <f>2*'Finance Main'!I4</f>
        <v>4.7603402040606799E-2</v>
      </c>
      <c r="J4" s="35">
        <f>2*'Finance Main'!J4</f>
        <v>4.8009884093166803E-2</v>
      </c>
      <c r="K4" s="35">
        <f>2*'Finance Main'!K4</f>
        <v>4.6126600891815805E-2</v>
      </c>
      <c r="L4" s="36">
        <f>2*'Finance Main'!L4</f>
        <v>4.02855735020234E-2</v>
      </c>
      <c r="M4" s="46">
        <f>$E4*G4</f>
        <v>78.927267061832893</v>
      </c>
      <c r="N4" s="46">
        <f t="shared" ref="N4:R9" si="0">$E4*H4</f>
        <v>79.097300455962753</v>
      </c>
      <c r="O4" s="46">
        <f t="shared" si="0"/>
        <v>79.006967196913095</v>
      </c>
      <c r="P4" s="46">
        <f t="shared" si="0"/>
        <v>79.681602051063805</v>
      </c>
      <c r="Q4" s="46">
        <f t="shared" si="0"/>
        <v>76.555932713718704</v>
      </c>
      <c r="R4" s="47">
        <f t="shared" si="0"/>
        <v>66.861628533779111</v>
      </c>
      <c r="S4" s="54">
        <f t="shared" ref="S4:S9" si="1">(116+176)/2*1000</f>
        <v>146000</v>
      </c>
      <c r="T4" s="66">
        <f t="shared" ref="T4:T9" si="2">S4*$W$1</f>
        <v>187624.59999999998</v>
      </c>
      <c r="U4" s="64">
        <f>M4*$T4</f>
        <v>14808696.911569569</v>
      </c>
      <c r="V4" s="68">
        <f t="shared" ref="V4:Z9" si="3">N4*$T4</f>
        <v>14840599.359129827</v>
      </c>
      <c r="W4" s="68">
        <f t="shared" si="3"/>
        <v>14823650.617533939</v>
      </c>
      <c r="X4" s="68">
        <f t="shared" si="3"/>
        <v>14950228.712190025</v>
      </c>
      <c r="Y4" s="68">
        <f t="shared" si="3"/>
        <v>14363776.253038384</v>
      </c>
      <c r="Z4" s="68">
        <f t="shared" si="3"/>
        <v>12544886.30899889</v>
      </c>
      <c r="AA4" s="104">
        <f>U4*(1-(1/(1+$AB$2))^$AD$2)/(1-(1/(1+$AB$2)))-AG21</f>
        <v>102289667.65882954</v>
      </c>
      <c r="AB4" s="105">
        <f t="shared" ref="AB4:AF9" si="4">V4*(1-(1/(1+$AB$2))^$AD$2)/(1-(1/(1+$AB$2)))-AH21</f>
        <v>102639289.07676893</v>
      </c>
      <c r="AC4" s="105">
        <f t="shared" si="4"/>
        <v>102453546.49203935</v>
      </c>
      <c r="AD4" s="105">
        <f t="shared" si="4"/>
        <v>103840725.73119137</v>
      </c>
      <c r="AE4" s="105">
        <f t="shared" si="4"/>
        <v>97413747.364238262</v>
      </c>
      <c r="AF4" s="105">
        <f t="shared" si="4"/>
        <v>77480390.21006918</v>
      </c>
      <c r="AG4" s="110">
        <f>U4/AG21</f>
        <v>0.24681161519282616</v>
      </c>
      <c r="AH4" s="106">
        <f t="shared" ref="AH4:AL9" si="5">V4/AH21</f>
        <v>0.2473433226521638</v>
      </c>
      <c r="AI4" s="106">
        <f t="shared" si="5"/>
        <v>0.24706084362556566</v>
      </c>
      <c r="AJ4" s="106">
        <f t="shared" si="5"/>
        <v>0.2491704785365004</v>
      </c>
      <c r="AK4" s="106">
        <f t="shared" si="5"/>
        <v>0.23939627088397306</v>
      </c>
      <c r="AL4" s="107">
        <f t="shared" si="5"/>
        <v>0.20908143848331484</v>
      </c>
      <c r="AM4" s="20"/>
      <c r="AN4" s="20"/>
      <c r="AO4" s="20"/>
      <c r="AP4" s="20"/>
      <c r="AQ4" s="20"/>
      <c r="AR4" s="20"/>
      <c r="AS4" s="20"/>
      <c r="AT4" s="20"/>
      <c r="AU4" s="22"/>
      <c r="AV4" s="22"/>
      <c r="AW4" s="22"/>
      <c r="AX4" s="22"/>
      <c r="AY4" s="22"/>
      <c r="AZ4" s="22"/>
      <c r="BA4" s="23"/>
      <c r="BB4" s="23"/>
      <c r="BC4" s="23"/>
      <c r="BD4" s="23"/>
      <c r="BE4" s="23"/>
      <c r="BF4" s="23"/>
    </row>
    <row r="5" spans="2:58" x14ac:dyDescent="0.2">
      <c r="B5" s="26" t="s">
        <v>1</v>
      </c>
      <c r="C5" s="6" t="s">
        <v>10</v>
      </c>
      <c r="D5" s="6">
        <v>1.90805515968404</v>
      </c>
      <c r="E5" s="6">
        <f t="shared" ref="E5:E9" si="6">D5*1000</f>
        <v>1908.0551596840401</v>
      </c>
      <c r="F5" s="72">
        <f t="shared" ref="F5:F9" si="7">D5/(15*25/1000000*365*24)</f>
        <v>0.58083870918844438</v>
      </c>
      <c r="G5" s="34">
        <f>2*'Finance Main'!G5</f>
        <v>4.5382264137952794E-2</v>
      </c>
      <c r="H5" s="35">
        <f>2*'Finance Main'!H5</f>
        <v>4.5557197399096402E-2</v>
      </c>
      <c r="I5" s="35">
        <f>2*'Finance Main'!I5</f>
        <v>4.5674536067341398E-2</v>
      </c>
      <c r="J5" s="35">
        <f>2*'Finance Main'!J5</f>
        <v>4.2158153142902999E-2</v>
      </c>
      <c r="K5" s="35">
        <f>2*'Finance Main'!K5</f>
        <v>3.7932737436469403E-2</v>
      </c>
      <c r="L5" s="36">
        <f>2*'Finance Main'!L5</f>
        <v>3.5281876428459001E-2</v>
      </c>
      <c r="M5" s="46">
        <f t="shared" ref="M5:M9" si="8">$E5*G5</f>
        <v>86.591863246564799</v>
      </c>
      <c r="N5" s="46">
        <f t="shared" si="0"/>
        <v>86.925645558090224</v>
      </c>
      <c r="O5" s="46">
        <f t="shared" si="0"/>
        <v>87.149534209465543</v>
      </c>
      <c r="P5" s="46">
        <f t="shared" si="0"/>
        <v>80.440081627065993</v>
      </c>
      <c r="Q5" s="46">
        <f t="shared" si="0"/>
        <v>72.377755386595396</v>
      </c>
      <c r="R5" s="47">
        <f t="shared" si="0"/>
        <v>67.319766362655912</v>
      </c>
      <c r="S5" s="54">
        <f t="shared" si="1"/>
        <v>146000</v>
      </c>
      <c r="T5" s="66">
        <f t="shared" si="2"/>
        <v>187624.59999999998</v>
      </c>
      <c r="U5" s="64">
        <f t="shared" ref="U5:U9" si="9">M5*$T5</f>
        <v>16246763.704891419</v>
      </c>
      <c r="V5" s="68">
        <f t="shared" si="3"/>
        <v>16309389.477578454</v>
      </c>
      <c r="W5" s="68">
        <f t="shared" si="3"/>
        <v>16351396.496237287</v>
      </c>
      <c r="X5" s="68">
        <f t="shared" si="3"/>
        <v>15092538.139245605</v>
      </c>
      <c r="Y5" s="68">
        <f t="shared" si="3"/>
        <v>13579847.403307805</v>
      </c>
      <c r="Z5" s="68">
        <f t="shared" si="3"/>
        <v>12630844.235886769</v>
      </c>
      <c r="AA5" s="64">
        <f t="shared" ref="AA5:AA9" si="10">U5*(1-(1/(1+$AB$2))^$AD$2)/(1-(1/(1+$AB$2)))-AG22</f>
        <v>118049554.1196745</v>
      </c>
      <c r="AB5" s="68">
        <f t="shared" si="4"/>
        <v>118735874.86058426</v>
      </c>
      <c r="AC5" s="68">
        <f t="shared" si="4"/>
        <v>119196233.06348288</v>
      </c>
      <c r="AD5" s="68">
        <f t="shared" si="4"/>
        <v>105400305.87247476</v>
      </c>
      <c r="AE5" s="68">
        <f t="shared" si="4"/>
        <v>88822609.788078606</v>
      </c>
      <c r="AF5" s="68">
        <f t="shared" si="4"/>
        <v>78422409.853700161</v>
      </c>
      <c r="AG5" s="110">
        <f t="shared" ref="AG5:AG9" si="11">U5/AG22</f>
        <v>0.27077939508152365</v>
      </c>
      <c r="AH5" s="106">
        <f t="shared" si="5"/>
        <v>0.2718231579596409</v>
      </c>
      <c r="AI5" s="106">
        <f t="shared" si="5"/>
        <v>0.27252327493728812</v>
      </c>
      <c r="AJ5" s="106">
        <f t="shared" si="5"/>
        <v>0.25154230232076008</v>
      </c>
      <c r="AK5" s="106">
        <f t="shared" si="5"/>
        <v>0.22633079005513007</v>
      </c>
      <c r="AL5" s="107">
        <f t="shared" si="5"/>
        <v>0.21051407059811283</v>
      </c>
      <c r="AM5" s="20"/>
      <c r="AN5" s="20"/>
      <c r="AO5" s="20"/>
      <c r="AP5" s="20"/>
      <c r="AQ5" s="20"/>
      <c r="AR5" s="20"/>
      <c r="AS5" s="20"/>
      <c r="AT5" s="20"/>
      <c r="AU5" s="22"/>
      <c r="AV5" s="22"/>
      <c r="AW5" s="22"/>
      <c r="AX5" s="22"/>
      <c r="AY5" s="22"/>
      <c r="AZ5" s="22"/>
      <c r="BA5" s="23"/>
      <c r="BB5" s="23"/>
      <c r="BC5" s="23"/>
      <c r="BD5" s="23"/>
      <c r="BE5" s="23"/>
      <c r="BF5" s="23"/>
    </row>
    <row r="6" spans="2:58" x14ac:dyDescent="0.2">
      <c r="B6" s="26" t="s">
        <v>0</v>
      </c>
      <c r="C6" s="6" t="s">
        <v>14</v>
      </c>
      <c r="D6" s="6">
        <v>2.2514664777486302</v>
      </c>
      <c r="E6" s="6">
        <f t="shared" si="6"/>
        <v>2251.46647774863</v>
      </c>
      <c r="F6" s="72">
        <f t="shared" si="7"/>
        <v>0.68537792321115076</v>
      </c>
      <c r="G6" s="34">
        <f>2*'Finance Main'!G6</f>
        <v>3.2098941041193201E-2</v>
      </c>
      <c r="H6" s="35">
        <f>2*'Finance Main'!H6</f>
        <v>2.6882121956962202E-2</v>
      </c>
      <c r="I6" s="35">
        <f>2*'Finance Main'!I6</f>
        <v>2.18558550975624E-2</v>
      </c>
      <c r="J6" s="35">
        <f>2*'Finance Main'!J6</f>
        <v>5.0685933677360991E-3</v>
      </c>
      <c r="K6" s="35">
        <f>2*'Finance Main'!K6</f>
        <v>2.1440300076217798E-3</v>
      </c>
      <c r="L6" s="36">
        <f>2*'Finance Main'!L6</f>
        <v>-5.9597298729511798E-2</v>
      </c>
      <c r="M6" s="46">
        <f t="shared" si="8"/>
        <v>72.269689725476198</v>
      </c>
      <c r="N6" s="46">
        <f t="shared" si="0"/>
        <v>60.524196436850801</v>
      </c>
      <c r="O6" s="46">
        <f t="shared" si="0"/>
        <v>49.207725094693259</v>
      </c>
      <c r="P6" s="46">
        <f t="shared" si="0"/>
        <v>11.411768056796861</v>
      </c>
      <c r="Q6" s="46">
        <f t="shared" si="0"/>
        <v>4.8272116894475774</v>
      </c>
      <c r="R6" s="48">
        <f t="shared" si="0"/>
        <v>-134.18132025386683</v>
      </c>
      <c r="S6" s="54">
        <f t="shared" si="1"/>
        <v>146000</v>
      </c>
      <c r="T6" s="66">
        <f t="shared" si="2"/>
        <v>187624.59999999998</v>
      </c>
      <c r="U6" s="64">
        <f t="shared" si="9"/>
        <v>13559571.626866579</v>
      </c>
      <c r="V6" s="68">
        <f t="shared" si="3"/>
        <v>11355828.146785555</v>
      </c>
      <c r="W6" s="68">
        <f t="shared" si="3"/>
        <v>9232579.7378017846</v>
      </c>
      <c r="X6" s="68">
        <f t="shared" si="3"/>
        <v>2141128.416949288</v>
      </c>
      <c r="Y6" s="68">
        <f t="shared" si="3"/>
        <v>905703.66234792583</v>
      </c>
      <c r="Z6" s="70">
        <f t="shared" si="3"/>
        <v>-25175716.540103659</v>
      </c>
      <c r="AA6" s="64">
        <f t="shared" si="10"/>
        <v>88600405.968267798</v>
      </c>
      <c r="AB6" s="68">
        <f t="shared" si="4"/>
        <v>64449408.812789187</v>
      </c>
      <c r="AC6" s="68">
        <f t="shared" si="4"/>
        <v>41180563.437075943</v>
      </c>
      <c r="AD6" s="68">
        <f t="shared" si="4"/>
        <v>-36535206.218576983</v>
      </c>
      <c r="AE6" s="68">
        <f t="shared" si="4"/>
        <v>-50074322.728221022</v>
      </c>
      <c r="AF6" s="70">
        <f t="shared" si="4"/>
        <v>-335902646.58426803</v>
      </c>
      <c r="AG6" s="110">
        <f t="shared" si="11"/>
        <v>0.22599286044777631</v>
      </c>
      <c r="AH6" s="106">
        <f t="shared" si="5"/>
        <v>0.18926380244642593</v>
      </c>
      <c r="AI6" s="106">
        <f t="shared" si="5"/>
        <v>0.15387632896336309</v>
      </c>
      <c r="AJ6" s="106">
        <f t="shared" si="5"/>
        <v>3.5685473615821466E-2</v>
      </c>
      <c r="AK6" s="106">
        <f t="shared" si="5"/>
        <v>1.5095061039132097E-2</v>
      </c>
      <c r="AL6" s="107">
        <f t="shared" si="5"/>
        <v>-0.41959527566839433</v>
      </c>
      <c r="AM6" s="20"/>
      <c r="AN6" s="20"/>
      <c r="AO6" s="20"/>
      <c r="AP6" s="20"/>
      <c r="AQ6" s="20"/>
      <c r="AR6" s="20"/>
      <c r="AS6" s="20"/>
      <c r="AT6" s="20"/>
      <c r="AU6" s="22"/>
      <c r="AV6" s="22"/>
      <c r="AW6" s="22"/>
      <c r="AX6" s="22"/>
      <c r="AY6" s="22"/>
      <c r="AZ6" s="22"/>
      <c r="BA6" s="23"/>
      <c r="BB6" s="23"/>
      <c r="BC6" s="23"/>
      <c r="BD6" s="23"/>
      <c r="BE6" s="23"/>
      <c r="BF6" s="23"/>
    </row>
    <row r="7" spans="2:58" x14ac:dyDescent="0.2">
      <c r="B7" s="26" t="s">
        <v>40</v>
      </c>
      <c r="C7" s="6" t="s">
        <v>90</v>
      </c>
      <c r="D7" s="6">
        <v>1.9059222661658799</v>
      </c>
      <c r="E7" s="6">
        <f t="shared" si="6"/>
        <v>1905.9222661658798</v>
      </c>
      <c r="F7" s="72">
        <f t="shared" si="7"/>
        <v>0.58018942653451444</v>
      </c>
      <c r="G7" s="34">
        <f>2*'Finance Main'!G7</f>
        <v>2.7540394496572401E-2</v>
      </c>
      <c r="H7" s="35">
        <f>2*'Finance Main'!H7</f>
        <v>2.6976453889034802E-2</v>
      </c>
      <c r="I7" s="35">
        <f>2*'Finance Main'!I7</f>
        <v>2.6965659136545601E-2</v>
      </c>
      <c r="J7" s="35">
        <f>2*'Finance Main'!J7</f>
        <v>2.6038460588354601E-2</v>
      </c>
      <c r="K7" s="35">
        <f>2*'Finance Main'!K7</f>
        <v>-2.28047415703766E-2</v>
      </c>
      <c r="L7" s="36">
        <f>2*'Finance Main'!L7</f>
        <v>-2.63140696454792E-2</v>
      </c>
      <c r="M7" s="46">
        <f t="shared" si="8"/>
        <v>52.489851090009594</v>
      </c>
      <c r="N7" s="46">
        <f t="shared" si="0"/>
        <v>51.41502412930857</v>
      </c>
      <c r="O7" s="46">
        <f t="shared" si="0"/>
        <v>51.394450170181656</v>
      </c>
      <c r="P7" s="46">
        <f t="shared" si="0"/>
        <v>49.627281812027746</v>
      </c>
      <c r="Q7" s="49">
        <f t="shared" si="0"/>
        <v>-43.464064733139416</v>
      </c>
      <c r="R7" s="48">
        <f t="shared" si="0"/>
        <v>-50.152571250758506</v>
      </c>
      <c r="S7" s="54">
        <f t="shared" si="1"/>
        <v>146000</v>
      </c>
      <c r="T7" s="66">
        <f t="shared" si="2"/>
        <v>187624.59999999998</v>
      </c>
      <c r="U7" s="64">
        <f t="shared" si="9"/>
        <v>9848387.3148226123</v>
      </c>
      <c r="V7" s="68">
        <f t="shared" si="3"/>
        <v>9646723.3362518679</v>
      </c>
      <c r="W7" s="68">
        <f t="shared" si="3"/>
        <v>9642863.1554002631</v>
      </c>
      <c r="X7" s="68">
        <f t="shared" si="3"/>
        <v>9311298.8990689795</v>
      </c>
      <c r="Y7" s="70">
        <f t="shared" si="3"/>
        <v>-8154927.7599293888</v>
      </c>
      <c r="Z7" s="70">
        <f t="shared" si="3"/>
        <v>-9409856.1198950633</v>
      </c>
      <c r="AA7" s="64">
        <f t="shared" si="10"/>
        <v>47929246.836654454</v>
      </c>
      <c r="AB7" s="68">
        <f t="shared" si="4"/>
        <v>45719195.523129761</v>
      </c>
      <c r="AC7" s="68">
        <f t="shared" si="4"/>
        <v>45676891.499267921</v>
      </c>
      <c r="AD7" s="68">
        <f t="shared" si="4"/>
        <v>42043252.882117793</v>
      </c>
      <c r="AE7" s="70">
        <f t="shared" si="4"/>
        <v>-149370491.12719202</v>
      </c>
      <c r="AF7" s="70">
        <f t="shared" si="4"/>
        <v>-163123349.17342257</v>
      </c>
      <c r="AG7" s="110">
        <f t="shared" si="11"/>
        <v>0.16413978858037687</v>
      </c>
      <c r="AH7" s="106">
        <f t="shared" si="5"/>
        <v>0.16077872227086445</v>
      </c>
      <c r="AI7" s="106">
        <f t="shared" si="5"/>
        <v>0.16071438592333773</v>
      </c>
      <c r="AJ7" s="106">
        <f t="shared" si="5"/>
        <v>0.15518831498448299</v>
      </c>
      <c r="AK7" s="106">
        <f t="shared" si="5"/>
        <v>-0.13591546266548982</v>
      </c>
      <c r="AL7" s="107">
        <f t="shared" si="5"/>
        <v>-0.15683093533158438</v>
      </c>
      <c r="AM7" s="20"/>
      <c r="AN7" s="20"/>
      <c r="AO7" s="20"/>
      <c r="AP7" s="20"/>
      <c r="AQ7" s="20"/>
      <c r="AR7" s="20"/>
      <c r="AS7" s="20"/>
      <c r="AT7" s="20"/>
      <c r="AU7" s="22"/>
      <c r="AV7" s="22"/>
      <c r="AW7" s="22"/>
      <c r="AX7" s="22"/>
      <c r="AY7" s="22"/>
      <c r="AZ7" s="22"/>
      <c r="BA7" s="23"/>
      <c r="BB7" s="23"/>
      <c r="BC7" s="23"/>
      <c r="BD7" s="23"/>
      <c r="BE7" s="23"/>
      <c r="BF7" s="23"/>
    </row>
    <row r="8" spans="2:58" x14ac:dyDescent="0.2">
      <c r="B8" s="26" t="s">
        <v>2</v>
      </c>
      <c r="C8" s="6" t="s">
        <v>13</v>
      </c>
      <c r="D8" s="6">
        <v>1.7732180661340899</v>
      </c>
      <c r="E8" s="6">
        <f t="shared" si="6"/>
        <v>1773.2180661340899</v>
      </c>
      <c r="F8" s="72">
        <f t="shared" si="7"/>
        <v>0.53979240978206688</v>
      </c>
      <c r="G8" s="34">
        <f>2*'Finance Main'!G8</f>
        <v>2.3296049307230803E-2</v>
      </c>
      <c r="H8" s="35">
        <f>2*'Finance Main'!H8</f>
        <v>2.28267864710598E-2</v>
      </c>
      <c r="I8" s="35">
        <f>2*'Finance Main'!I8</f>
        <v>2.2087444082129402E-2</v>
      </c>
      <c r="J8" s="35">
        <f>2*'Finance Main'!J8</f>
        <v>1.7916449846986759E-2</v>
      </c>
      <c r="K8" s="35">
        <f>2*'Finance Main'!K8</f>
        <v>-0.1599175175324116</v>
      </c>
      <c r="L8" s="36">
        <f>2*'Finance Main'!L8</f>
        <v>-0.15840814677929141</v>
      </c>
      <c r="M8" s="46">
        <f t="shared" si="8"/>
        <v>41.30897550113221</v>
      </c>
      <c r="N8" s="46">
        <f t="shared" si="0"/>
        <v>40.476870162268469</v>
      </c>
      <c r="O8" s="46">
        <f t="shared" si="0"/>
        <v>39.165854881158346</v>
      </c>
      <c r="P8" s="46">
        <f t="shared" si="0"/>
        <v>31.769772549662271</v>
      </c>
      <c r="Q8" s="49">
        <f t="shared" si="0"/>
        <v>-283.5686311797873</v>
      </c>
      <c r="R8" s="48">
        <f t="shared" si="0"/>
        <v>-280.89218769186016</v>
      </c>
      <c r="S8" s="54">
        <f t="shared" si="1"/>
        <v>146000</v>
      </c>
      <c r="T8" s="66">
        <f t="shared" si="2"/>
        <v>187624.59999999998</v>
      </c>
      <c r="U8" s="64">
        <f t="shared" si="9"/>
        <v>7750580.0048097298</v>
      </c>
      <c r="V8" s="68">
        <f t="shared" si="3"/>
        <v>7594456.5734475553</v>
      </c>
      <c r="W8" s="68">
        <f t="shared" si="3"/>
        <v>7348477.8557353811</v>
      </c>
      <c r="X8" s="68">
        <f t="shared" si="3"/>
        <v>5960790.8667213628</v>
      </c>
      <c r="Y8" s="70">
        <f t="shared" si="3"/>
        <v>-53204450.997655116</v>
      </c>
      <c r="Z8" s="70">
        <f t="shared" si="3"/>
        <v>-52702284.358810179</v>
      </c>
      <c r="AA8" s="64">
        <f t="shared" si="10"/>
        <v>24939212.454340294</v>
      </c>
      <c r="AB8" s="68">
        <f t="shared" si="4"/>
        <v>23228243.559452042</v>
      </c>
      <c r="AC8" s="68">
        <f t="shared" si="4"/>
        <v>20532543.553770527</v>
      </c>
      <c r="AD8" s="68">
        <f t="shared" si="4"/>
        <v>5324773.3085965887</v>
      </c>
      <c r="AE8" s="70">
        <f t="shared" si="4"/>
        <v>-643071739.66360557</v>
      </c>
      <c r="AF8" s="70">
        <f t="shared" si="4"/>
        <v>-637568456.19348288</v>
      </c>
      <c r="AG8" s="110">
        <f t="shared" si="11"/>
        <v>0.12917633341349549</v>
      </c>
      <c r="AH8" s="106">
        <f t="shared" si="5"/>
        <v>0.12657427622412593</v>
      </c>
      <c r="AI8" s="106">
        <f t="shared" si="5"/>
        <v>0.12247463092892302</v>
      </c>
      <c r="AJ8" s="106">
        <f t="shared" si="5"/>
        <v>9.9346514445356041E-2</v>
      </c>
      <c r="AK8" s="106">
        <f t="shared" si="5"/>
        <v>-0.88674084996091862</v>
      </c>
      <c r="AL8" s="107">
        <f t="shared" si="5"/>
        <v>-0.87837140598016961</v>
      </c>
      <c r="AM8" s="20"/>
      <c r="AN8" s="20"/>
      <c r="AO8" s="20"/>
      <c r="AP8" s="20"/>
      <c r="AQ8" s="20"/>
      <c r="AR8" s="20"/>
      <c r="AS8" s="20"/>
      <c r="AT8" s="20"/>
      <c r="AU8" s="22"/>
      <c r="AV8" s="22"/>
      <c r="AW8" s="22"/>
      <c r="AX8" s="22"/>
      <c r="AY8" s="22"/>
      <c r="AZ8" s="22"/>
      <c r="BA8" s="23"/>
      <c r="BB8" s="23"/>
      <c r="BC8" s="23"/>
      <c r="BD8" s="23"/>
      <c r="BE8" s="23"/>
      <c r="BF8" s="23"/>
    </row>
    <row r="9" spans="2:58" ht="17" thickBot="1" x14ac:dyDescent="0.25">
      <c r="B9" s="26" t="s">
        <v>3</v>
      </c>
      <c r="C9" s="6" t="s">
        <v>15</v>
      </c>
      <c r="D9" s="6">
        <v>2.2404575039568799</v>
      </c>
      <c r="E9" s="6">
        <f t="shared" si="6"/>
        <v>2240.4575039568799</v>
      </c>
      <c r="F9" s="72">
        <f t="shared" si="7"/>
        <v>0.68202663742979597</v>
      </c>
      <c r="G9" s="39">
        <f>2*'Finance Main'!G9</f>
        <v>1.0952631575687079E-2</v>
      </c>
      <c r="H9" s="40">
        <f>2*'Finance Main'!H9</f>
        <v>9.6313923002398199E-3</v>
      </c>
      <c r="I9" s="40">
        <f>2*'Finance Main'!I9</f>
        <v>9.7807275352596798E-3</v>
      </c>
      <c r="J9" s="40">
        <f>2*'Finance Main'!J9</f>
        <v>-2.5525097703187401E-2</v>
      </c>
      <c r="K9" s="40">
        <f>2*'Finance Main'!K9</f>
        <v>-0.17357723841728739</v>
      </c>
      <c r="L9" s="117">
        <f>2*'Finance Main'!L9</f>
        <v>-0.1650987007666336</v>
      </c>
      <c r="M9" s="51">
        <f t="shared" si="8"/>
        <v>24.538905601823181</v>
      </c>
      <c r="N9" s="51">
        <f t="shared" si="0"/>
        <v>21.57872515262482</v>
      </c>
      <c r="O9" s="51">
        <f t="shared" si="0"/>
        <v>21.91330440053023</v>
      </c>
      <c r="P9" s="52">
        <f t="shared" si="0"/>
        <v>-57.187896688338732</v>
      </c>
      <c r="Q9" s="52">
        <f t="shared" si="0"/>
        <v>-388.89242632812397</v>
      </c>
      <c r="R9" s="53">
        <f t="shared" si="0"/>
        <v>-369.89662302613573</v>
      </c>
      <c r="S9" s="55">
        <f t="shared" si="1"/>
        <v>146000</v>
      </c>
      <c r="T9" s="67">
        <f t="shared" si="2"/>
        <v>187624.59999999998</v>
      </c>
      <c r="U9" s="65">
        <f t="shared" si="9"/>
        <v>4604102.3479798334</v>
      </c>
      <c r="V9" s="69">
        <f t="shared" si="3"/>
        <v>4048699.6752711702</v>
      </c>
      <c r="W9" s="69">
        <f t="shared" si="3"/>
        <v>4111474.9728277237</v>
      </c>
      <c r="X9" s="71">
        <f t="shared" si="3"/>
        <v>-10729856.240990877</v>
      </c>
      <c r="Y9" s="71">
        <f t="shared" si="3"/>
        <v>-72965785.932843715</v>
      </c>
      <c r="Z9" s="71">
        <f t="shared" si="3"/>
        <v>-69401705.936629504</v>
      </c>
      <c r="AA9" s="65">
        <f t="shared" si="10"/>
        <v>-9543282.2764357179</v>
      </c>
      <c r="AB9" s="69">
        <f t="shared" si="4"/>
        <v>-15629983.605321318</v>
      </c>
      <c r="AC9" s="69">
        <f t="shared" si="4"/>
        <v>-14942024.209672004</v>
      </c>
      <c r="AD9" s="71">
        <f t="shared" si="4"/>
        <v>-177589333.73921439</v>
      </c>
      <c r="AE9" s="71">
        <f t="shared" si="4"/>
        <v>-859637754.77469885</v>
      </c>
      <c r="AF9" s="71">
        <f t="shared" si="4"/>
        <v>-820578723.34545875</v>
      </c>
      <c r="AG9" s="111">
        <f t="shared" si="11"/>
        <v>7.6735039132997229E-2</v>
      </c>
      <c r="AH9" s="108">
        <f t="shared" si="5"/>
        <v>6.7478327921186174E-2</v>
      </c>
      <c r="AI9" s="108">
        <f t="shared" si="5"/>
        <v>6.8524582880462065E-2</v>
      </c>
      <c r="AJ9" s="108">
        <f t="shared" si="5"/>
        <v>-0.17883093734984795</v>
      </c>
      <c r="AK9" s="108">
        <f t="shared" si="5"/>
        <v>-1.2160964322140619</v>
      </c>
      <c r="AL9" s="109">
        <f t="shared" si="5"/>
        <v>-1.1566950989438252</v>
      </c>
    </row>
    <row r="10" spans="2:58" x14ac:dyDescent="0.2">
      <c r="AA10" s="74" t="s">
        <v>103</v>
      </c>
      <c r="AB10" s="75"/>
      <c r="AC10" s="75"/>
      <c r="AD10" s="75"/>
      <c r="AE10" s="75"/>
      <c r="AF10" s="76"/>
      <c r="AG10" s="114"/>
    </row>
    <row r="11" spans="2:58" x14ac:dyDescent="0.2">
      <c r="AA11" s="60" t="s">
        <v>105</v>
      </c>
      <c r="AB11" s="61">
        <v>0.03</v>
      </c>
      <c r="AC11" s="85" t="s">
        <v>106</v>
      </c>
      <c r="AD11" s="85">
        <f>AD2</f>
        <v>20</v>
      </c>
      <c r="AE11" s="61"/>
      <c r="AF11" s="62"/>
    </row>
    <row r="12" spans="2:58" x14ac:dyDescent="0.2">
      <c r="AA12" s="60">
        <v>1</v>
      </c>
      <c r="AB12" s="61">
        <v>5</v>
      </c>
      <c r="AC12" s="61">
        <v>10</v>
      </c>
      <c r="AD12" s="61">
        <v>20</v>
      </c>
      <c r="AE12" s="61">
        <v>40</v>
      </c>
      <c r="AF12" s="62">
        <v>90</v>
      </c>
      <c r="AG12" s="73"/>
    </row>
    <row r="13" spans="2:58" x14ac:dyDescent="0.2">
      <c r="AA13" s="77">
        <f>((U4/(1+$AB$2)^$AD$11)+AG21)*(1+$AB$11)^$AD$11</f>
        <v>114663070.35951991</v>
      </c>
      <c r="AB13" s="78">
        <f t="shared" ref="AB13:AF18" si="12">((V4/(1+$AB$2)^$AD$11)+AH21)*(1+$AB$11)^$AD$11</f>
        <v>114676634.71655416</v>
      </c>
      <c r="AC13" s="78">
        <f t="shared" si="12"/>
        <v>114669428.41108641</v>
      </c>
      <c r="AD13" s="78">
        <f t="shared" si="12"/>
        <v>114723247.18048926</v>
      </c>
      <c r="AE13" s="78">
        <f t="shared" si="12"/>
        <v>114473897.95659257</v>
      </c>
      <c r="AF13" s="79">
        <f t="shared" si="12"/>
        <v>113700538.08944187</v>
      </c>
      <c r="AG13" s="113"/>
    </row>
    <row r="14" spans="2:58" ht="17" thickBot="1" x14ac:dyDescent="0.25">
      <c r="E14" s="16" t="s">
        <v>45</v>
      </c>
      <c r="F14" s="16"/>
      <c r="G14" s="16" t="s">
        <v>44</v>
      </c>
      <c r="H14" s="16" t="s">
        <v>59</v>
      </c>
      <c r="I14" s="16" t="s">
        <v>41</v>
      </c>
      <c r="J14" s="16" t="s">
        <v>60</v>
      </c>
      <c r="K14" s="16" t="s">
        <v>61</v>
      </c>
      <c r="L14" s="16" t="s">
        <v>69</v>
      </c>
      <c r="M14" s="16" t="s">
        <v>52</v>
      </c>
      <c r="N14" s="16" t="s">
        <v>78</v>
      </c>
      <c r="O14" s="16" t="s">
        <v>64</v>
      </c>
      <c r="P14" s="16" t="s">
        <v>63</v>
      </c>
      <c r="Q14" s="16" t="s">
        <v>62</v>
      </c>
      <c r="Z14" s="63"/>
      <c r="AA14" s="77">
        <f t="shared" ref="AA14:AA18" si="13">((U5/(1+$AB$2)^$AD$11)+AG22)*(1+$AB$11)^$AD$11</f>
        <v>115274510.95155889</v>
      </c>
      <c r="AB14" s="78">
        <f t="shared" si="12"/>
        <v>115301138.32360201</v>
      </c>
      <c r="AC14" s="78">
        <f t="shared" si="12"/>
        <v>115318998.96573478</v>
      </c>
      <c r="AD14" s="78">
        <f t="shared" si="12"/>
        <v>114783754.63447936</v>
      </c>
      <c r="AE14" s="78">
        <f t="shared" si="12"/>
        <v>114140585.26053312</v>
      </c>
      <c r="AF14" s="79">
        <f t="shared" si="12"/>
        <v>113737085.88120706</v>
      </c>
      <c r="AG14" s="113"/>
    </row>
    <row r="15" spans="2:58" x14ac:dyDescent="0.2">
      <c r="E15" t="s">
        <v>46</v>
      </c>
      <c r="G15" s="3" t="s">
        <v>42</v>
      </c>
      <c r="I15" t="s">
        <v>65</v>
      </c>
      <c r="K15" t="s">
        <v>65</v>
      </c>
      <c r="AA15" s="77">
        <f t="shared" si="13"/>
        <v>114131964.35863285</v>
      </c>
      <c r="AB15" s="78">
        <f t="shared" si="12"/>
        <v>113194971.56774153</v>
      </c>
      <c r="AC15" s="78">
        <f t="shared" si="12"/>
        <v>112292203.85885368</v>
      </c>
      <c r="AD15" s="78">
        <f t="shared" si="12"/>
        <v>109277044.05252667</v>
      </c>
      <c r="AE15" s="78">
        <f t="shared" si="12"/>
        <v>108751763.27497102</v>
      </c>
      <c r="AF15" s="79">
        <f t="shared" si="12"/>
        <v>97662404.224431321</v>
      </c>
      <c r="AG15" s="73"/>
    </row>
    <row r="16" spans="2:58" x14ac:dyDescent="0.2">
      <c r="G16" s="15" t="s">
        <v>43</v>
      </c>
      <c r="I16" t="s">
        <v>57</v>
      </c>
      <c r="K16" t="s">
        <v>57</v>
      </c>
      <c r="AA16" s="77">
        <f t="shared" si="13"/>
        <v>112554034.36020748</v>
      </c>
      <c r="AB16" s="78">
        <f t="shared" si="12"/>
        <v>112468290.39961897</v>
      </c>
      <c r="AC16" s="78">
        <f t="shared" si="12"/>
        <v>112466649.11892447</v>
      </c>
      <c r="AD16" s="78">
        <f t="shared" si="12"/>
        <v>112325673.85537508</v>
      </c>
      <c r="AE16" s="78">
        <f t="shared" si="12"/>
        <v>104899342.88197452</v>
      </c>
      <c r="AF16" s="79">
        <f t="shared" si="12"/>
        <v>104365769.51601739</v>
      </c>
    </row>
    <row r="17" spans="5:38" x14ac:dyDescent="0.2">
      <c r="AA17" s="77">
        <f t="shared" si="13"/>
        <v>111662083.75709602</v>
      </c>
      <c r="AB17" s="78">
        <f t="shared" si="12"/>
        <v>111595702.83254752</v>
      </c>
      <c r="AC17" s="78">
        <f t="shared" si="12"/>
        <v>111491117.02785097</v>
      </c>
      <c r="AD17" s="78">
        <f t="shared" si="12"/>
        <v>110901097.03846818</v>
      </c>
      <c r="AE17" s="78">
        <f t="shared" si="12"/>
        <v>85745081.558742806</v>
      </c>
      <c r="AF17" s="79">
        <f t="shared" si="12"/>
        <v>85958593.94104901</v>
      </c>
      <c r="AH17" s="113"/>
    </row>
    <row r="18" spans="5:38" ht="17" thickBot="1" x14ac:dyDescent="0.25">
      <c r="E18" t="s">
        <v>50</v>
      </c>
      <c r="G18" s="3" t="s">
        <v>51</v>
      </c>
      <c r="I18" t="s">
        <v>65</v>
      </c>
      <c r="K18" t="s">
        <v>65</v>
      </c>
      <c r="AA18" s="80">
        <f t="shared" si="13"/>
        <v>110324257.0509488</v>
      </c>
      <c r="AB18" s="81">
        <f t="shared" si="12"/>
        <v>110088109.64764456</v>
      </c>
      <c r="AC18" s="81">
        <f t="shared" si="12"/>
        <v>110114800.59502032</v>
      </c>
      <c r="AD18" s="81">
        <f t="shared" si="12"/>
        <v>103804528.78694807</v>
      </c>
      <c r="AE18" s="81">
        <f t="shared" si="12"/>
        <v>77342911.097424105</v>
      </c>
      <c r="AF18" s="82">
        <f t="shared" si="12"/>
        <v>78858294.939871073</v>
      </c>
    </row>
    <row r="19" spans="5:38" x14ac:dyDescent="0.2">
      <c r="AA19" s="98" t="s">
        <v>107</v>
      </c>
      <c r="AB19" s="3"/>
      <c r="AC19" s="3"/>
      <c r="AD19" s="3"/>
      <c r="AE19" s="3"/>
      <c r="AF19" s="3"/>
      <c r="AG19" s="3" t="s">
        <v>109</v>
      </c>
      <c r="AH19" s="3"/>
      <c r="AI19" s="3"/>
      <c r="AJ19" s="3"/>
      <c r="AK19" s="3"/>
      <c r="AL19" s="3"/>
    </row>
    <row r="20" spans="5:38" x14ac:dyDescent="0.2">
      <c r="AA20" s="3">
        <v>1</v>
      </c>
      <c r="AB20" s="3">
        <v>5</v>
      </c>
      <c r="AC20" s="3">
        <v>10</v>
      </c>
      <c r="AD20" s="3">
        <v>20</v>
      </c>
      <c r="AE20" s="3">
        <v>40</v>
      </c>
      <c r="AF20" s="3">
        <v>90</v>
      </c>
      <c r="AG20" s="3">
        <v>1</v>
      </c>
      <c r="AH20" s="3">
        <v>5</v>
      </c>
      <c r="AI20" s="3">
        <v>10</v>
      </c>
      <c r="AJ20" s="3">
        <v>20</v>
      </c>
      <c r="AK20" s="3">
        <v>40</v>
      </c>
      <c r="AL20" s="3">
        <v>90</v>
      </c>
    </row>
    <row r="21" spans="5:38" x14ac:dyDescent="0.2">
      <c r="E21" t="s">
        <v>47</v>
      </c>
      <c r="G21" t="s">
        <v>48</v>
      </c>
      <c r="I21" t="s">
        <v>58</v>
      </c>
      <c r="K21" t="s">
        <v>58</v>
      </c>
      <c r="N21" t="s">
        <v>71</v>
      </c>
      <c r="O21" t="s">
        <v>71</v>
      </c>
      <c r="P21" t="s">
        <v>71</v>
      </c>
      <c r="Q21" t="s">
        <v>71</v>
      </c>
      <c r="AA21" s="112">
        <v>20000000</v>
      </c>
      <c r="AB21" s="112">
        <v>20000000</v>
      </c>
      <c r="AC21" s="112">
        <v>20000000</v>
      </c>
      <c r="AD21" s="112">
        <v>20000000</v>
      </c>
      <c r="AE21" s="112">
        <v>20000000</v>
      </c>
      <c r="AF21" s="112">
        <v>20000000</v>
      </c>
      <c r="AG21" s="112">
        <f>AA29-AA21</f>
        <v>60000000</v>
      </c>
      <c r="AH21" s="112">
        <f t="shared" ref="AH21:AL26" si="14">AB29-AB21</f>
        <v>60000000</v>
      </c>
      <c r="AI21" s="112">
        <f t="shared" si="14"/>
        <v>60000000</v>
      </c>
      <c r="AJ21" s="112">
        <f t="shared" si="14"/>
        <v>60000000</v>
      </c>
      <c r="AK21" s="112">
        <f t="shared" si="14"/>
        <v>60000000</v>
      </c>
      <c r="AL21" s="112">
        <f t="shared" si="14"/>
        <v>60000000</v>
      </c>
    </row>
    <row r="22" spans="5:38" x14ac:dyDescent="0.2">
      <c r="G22" s="3" t="s">
        <v>49</v>
      </c>
      <c r="I22" t="s">
        <v>57</v>
      </c>
      <c r="K22" t="s">
        <v>66</v>
      </c>
      <c r="AA22" s="112">
        <v>20000000</v>
      </c>
      <c r="AB22" s="112">
        <v>20000000</v>
      </c>
      <c r="AC22" s="112">
        <v>20000000</v>
      </c>
      <c r="AD22" s="112">
        <v>20000000</v>
      </c>
      <c r="AE22" s="112">
        <v>20000000</v>
      </c>
      <c r="AF22" s="112">
        <v>20000000</v>
      </c>
      <c r="AG22" s="112">
        <f t="shared" ref="AG22:AG26" si="15">AA30-AA22</f>
        <v>60000000</v>
      </c>
      <c r="AH22" s="112">
        <f t="shared" si="14"/>
        <v>60000000</v>
      </c>
      <c r="AI22" s="112">
        <f t="shared" si="14"/>
        <v>60000000</v>
      </c>
      <c r="AJ22" s="112">
        <f t="shared" si="14"/>
        <v>60000000</v>
      </c>
      <c r="AK22" s="112">
        <f t="shared" si="14"/>
        <v>60000000</v>
      </c>
      <c r="AL22" s="112">
        <f t="shared" si="14"/>
        <v>60000000</v>
      </c>
    </row>
    <row r="23" spans="5:38" x14ac:dyDescent="0.2">
      <c r="G23" s="15" t="s">
        <v>54</v>
      </c>
      <c r="I23" t="s">
        <v>67</v>
      </c>
      <c r="K23" t="s">
        <v>68</v>
      </c>
      <c r="AA23" s="112">
        <v>20000000</v>
      </c>
      <c r="AB23" s="112">
        <v>20000000</v>
      </c>
      <c r="AC23" s="112">
        <v>20000000</v>
      </c>
      <c r="AD23" s="112">
        <v>20000000</v>
      </c>
      <c r="AE23" s="112">
        <v>20000000</v>
      </c>
      <c r="AF23" s="112">
        <v>20000000</v>
      </c>
      <c r="AG23" s="112">
        <f t="shared" si="15"/>
        <v>60000000</v>
      </c>
      <c r="AH23" s="112">
        <f t="shared" si="14"/>
        <v>60000000</v>
      </c>
      <c r="AI23" s="112">
        <f t="shared" si="14"/>
        <v>60000000</v>
      </c>
      <c r="AJ23" s="112">
        <f t="shared" si="14"/>
        <v>60000000</v>
      </c>
      <c r="AK23" s="112">
        <f t="shared" si="14"/>
        <v>60000000</v>
      </c>
      <c r="AL23" s="112">
        <f t="shared" si="14"/>
        <v>60000000</v>
      </c>
    </row>
    <row r="24" spans="5:38" x14ac:dyDescent="0.2">
      <c r="G24" s="17"/>
      <c r="AA24" s="112">
        <v>20000000</v>
      </c>
      <c r="AB24" s="112">
        <v>20000000</v>
      </c>
      <c r="AC24" s="112">
        <v>20000000</v>
      </c>
      <c r="AD24" s="112">
        <v>20000000</v>
      </c>
      <c r="AE24" s="112">
        <v>20000000</v>
      </c>
      <c r="AF24" s="112">
        <v>20000000</v>
      </c>
      <c r="AG24" s="112">
        <f t="shared" si="15"/>
        <v>60000000</v>
      </c>
      <c r="AH24" s="112">
        <f t="shared" si="14"/>
        <v>60000000</v>
      </c>
      <c r="AI24" s="112">
        <f t="shared" si="14"/>
        <v>60000000</v>
      </c>
      <c r="AJ24" s="112">
        <f t="shared" si="14"/>
        <v>60000000</v>
      </c>
      <c r="AK24" s="112">
        <f t="shared" si="14"/>
        <v>60000000</v>
      </c>
      <c r="AL24" s="112">
        <f t="shared" si="14"/>
        <v>60000000</v>
      </c>
    </row>
    <row r="25" spans="5:38" x14ac:dyDescent="0.2">
      <c r="E25" t="s">
        <v>70</v>
      </c>
      <c r="G25" t="s">
        <v>53</v>
      </c>
      <c r="I25" t="s">
        <v>57</v>
      </c>
      <c r="K25" t="s">
        <v>57</v>
      </c>
      <c r="AA25" s="112">
        <v>20000000</v>
      </c>
      <c r="AB25" s="112">
        <v>20000000</v>
      </c>
      <c r="AC25" s="112">
        <v>20000000</v>
      </c>
      <c r="AD25" s="112">
        <v>20000000</v>
      </c>
      <c r="AE25" s="112">
        <v>20000000</v>
      </c>
      <c r="AF25" s="112">
        <v>20000000</v>
      </c>
      <c r="AG25" s="112">
        <f t="shared" si="15"/>
        <v>60000000</v>
      </c>
      <c r="AH25" s="112">
        <f t="shared" si="14"/>
        <v>60000000</v>
      </c>
      <c r="AI25" s="112">
        <f t="shared" si="14"/>
        <v>60000000</v>
      </c>
      <c r="AJ25" s="112">
        <f t="shared" si="14"/>
        <v>60000000</v>
      </c>
      <c r="AK25" s="112">
        <f t="shared" si="14"/>
        <v>60000000</v>
      </c>
      <c r="AL25" s="112">
        <f t="shared" si="14"/>
        <v>60000000</v>
      </c>
    </row>
    <row r="26" spans="5:38" x14ac:dyDescent="0.2">
      <c r="G26" t="s">
        <v>56</v>
      </c>
      <c r="I26" t="s">
        <v>57</v>
      </c>
      <c r="K26" t="s">
        <v>57</v>
      </c>
      <c r="AA26" s="112">
        <v>20000000</v>
      </c>
      <c r="AB26" s="112">
        <v>20000000</v>
      </c>
      <c r="AC26" s="112">
        <v>20000000</v>
      </c>
      <c r="AD26" s="112">
        <v>20000000</v>
      </c>
      <c r="AE26" s="112">
        <v>20000000</v>
      </c>
      <c r="AF26" s="112">
        <v>20000000</v>
      </c>
      <c r="AG26" s="112">
        <f t="shared" si="15"/>
        <v>60000000</v>
      </c>
      <c r="AH26" s="112">
        <f t="shared" si="14"/>
        <v>60000000</v>
      </c>
      <c r="AI26" s="112">
        <f t="shared" si="14"/>
        <v>60000000</v>
      </c>
      <c r="AJ26" s="112">
        <f t="shared" si="14"/>
        <v>60000000</v>
      </c>
      <c r="AK26" s="112">
        <f t="shared" si="14"/>
        <v>60000000</v>
      </c>
      <c r="AL26" s="112">
        <f t="shared" si="14"/>
        <v>60000000</v>
      </c>
    </row>
    <row r="27" spans="5:38" x14ac:dyDescent="0.2">
      <c r="G27" t="s">
        <v>55</v>
      </c>
      <c r="I27" t="s">
        <v>57</v>
      </c>
      <c r="K27" t="s">
        <v>57</v>
      </c>
      <c r="AA27" s="3" t="s">
        <v>108</v>
      </c>
      <c r="AB27" s="3"/>
      <c r="AC27" s="3"/>
      <c r="AD27" s="3"/>
      <c r="AE27" s="3"/>
      <c r="AF27" s="3"/>
    </row>
    <row r="28" spans="5:38" x14ac:dyDescent="0.2">
      <c r="AA28" s="3">
        <v>1</v>
      </c>
      <c r="AB28" s="3">
        <v>5</v>
      </c>
      <c r="AC28" s="3">
        <v>10</v>
      </c>
      <c r="AD28" s="3">
        <v>20</v>
      </c>
      <c r="AE28" s="3">
        <v>40</v>
      </c>
      <c r="AF28" s="3">
        <v>90</v>
      </c>
    </row>
    <row r="29" spans="5:38" x14ac:dyDescent="0.2">
      <c r="AA29" s="112">
        <v>80000000</v>
      </c>
      <c r="AB29" s="112">
        <v>80000000</v>
      </c>
      <c r="AC29" s="112">
        <v>80000000</v>
      </c>
      <c r="AD29" s="112">
        <v>80000000</v>
      </c>
      <c r="AE29" s="112">
        <v>80000000</v>
      </c>
      <c r="AF29" s="112">
        <v>80000000</v>
      </c>
    </row>
    <row r="30" spans="5:38" x14ac:dyDescent="0.2">
      <c r="AA30" s="112">
        <v>80000000</v>
      </c>
      <c r="AB30" s="112">
        <v>80000000</v>
      </c>
      <c r="AC30" s="112">
        <v>80000000</v>
      </c>
      <c r="AD30" s="112">
        <v>80000000</v>
      </c>
      <c r="AE30" s="112">
        <v>80000000</v>
      </c>
      <c r="AF30" s="112">
        <v>80000000</v>
      </c>
    </row>
    <row r="31" spans="5:38" x14ac:dyDescent="0.2">
      <c r="AA31" s="112">
        <v>80000000</v>
      </c>
      <c r="AB31" s="112">
        <v>80000000</v>
      </c>
      <c r="AC31" s="112">
        <v>80000000</v>
      </c>
      <c r="AD31" s="112">
        <v>80000000</v>
      </c>
      <c r="AE31" s="112">
        <v>80000000</v>
      </c>
      <c r="AF31" s="112">
        <v>80000000</v>
      </c>
    </row>
    <row r="32" spans="5:38" x14ac:dyDescent="0.2">
      <c r="AA32" s="112">
        <v>80000000</v>
      </c>
      <c r="AB32" s="112">
        <v>80000000</v>
      </c>
      <c r="AC32" s="112">
        <v>80000000</v>
      </c>
      <c r="AD32" s="112">
        <v>80000000</v>
      </c>
      <c r="AE32" s="112">
        <v>80000000</v>
      </c>
      <c r="AF32" s="112">
        <v>80000000</v>
      </c>
    </row>
    <row r="33" spans="3:32" x14ac:dyDescent="0.2">
      <c r="C33">
        <v>15</v>
      </c>
      <c r="E33" t="s">
        <v>96</v>
      </c>
      <c r="AA33" s="112">
        <v>80000000</v>
      </c>
      <c r="AB33" s="112">
        <v>80000000</v>
      </c>
      <c r="AC33" s="112">
        <v>80000000</v>
      </c>
      <c r="AD33" s="112">
        <v>80000000</v>
      </c>
      <c r="AE33" s="112">
        <v>80000000</v>
      </c>
      <c r="AF33" s="112">
        <v>80000000</v>
      </c>
    </row>
    <row r="34" spans="3:32" x14ac:dyDescent="0.2">
      <c r="C34">
        <v>25</v>
      </c>
      <c r="E34" t="s">
        <v>97</v>
      </c>
      <c r="AA34" s="112">
        <v>80000000</v>
      </c>
      <c r="AB34" s="112">
        <v>80000000</v>
      </c>
      <c r="AC34" s="112">
        <v>80000000</v>
      </c>
      <c r="AD34" s="112">
        <v>80000000</v>
      </c>
      <c r="AE34" s="112">
        <v>80000000</v>
      </c>
      <c r="AF34" s="112">
        <v>80000000</v>
      </c>
    </row>
    <row r="35" spans="3:32" x14ac:dyDescent="0.2">
      <c r="C35">
        <v>0.5</v>
      </c>
      <c r="E35" t="s">
        <v>98</v>
      </c>
    </row>
    <row r="36" spans="3:32" x14ac:dyDescent="0.2">
      <c r="C36">
        <f>C33*C34*C35*365*24</f>
        <v>1642500</v>
      </c>
      <c r="E36" t="s">
        <v>99</v>
      </c>
    </row>
    <row r="37" spans="3:32" x14ac:dyDescent="0.2">
      <c r="C37">
        <f>C36/1000</f>
        <v>1642.5</v>
      </c>
      <c r="E37" t="s">
        <v>100</v>
      </c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1913-0F7C-C34C-AC58-639696AC4687}">
  <dimension ref="B1:R47"/>
  <sheetViews>
    <sheetView workbookViewId="0">
      <selection activeCell="I9" sqref="I9"/>
    </sheetView>
  </sheetViews>
  <sheetFormatPr baseColWidth="10" defaultColWidth="11" defaultRowHeight="16" x14ac:dyDescent="0.2"/>
  <cols>
    <col min="2" max="2" width="25.1640625" customWidth="1"/>
    <col min="3" max="3" width="26" hidden="1" customWidth="1"/>
    <col min="4" max="4" width="16" bestFit="1" customWidth="1"/>
    <col min="5" max="5" width="15.33203125" bestFit="1" customWidth="1"/>
    <col min="6" max="8" width="15" bestFit="1" customWidth="1"/>
    <col min="9" max="9" width="16.33203125" bestFit="1" customWidth="1"/>
    <col min="10" max="10" width="18.1640625" hidden="1" customWidth="1"/>
    <col min="11" max="11" width="19.1640625" hidden="1" customWidth="1"/>
    <col min="12" max="12" width="19.6640625" hidden="1" customWidth="1"/>
    <col min="13" max="15" width="15" hidden="1" customWidth="1"/>
  </cols>
  <sheetData>
    <row r="1" spans="2:15" x14ac:dyDescent="0.2">
      <c r="B1" s="1" t="s">
        <v>179</v>
      </c>
      <c r="C1" s="1"/>
    </row>
    <row r="2" spans="2:15" x14ac:dyDescent="0.2">
      <c r="B2" t="s">
        <v>173</v>
      </c>
      <c r="C2" s="135">
        <v>25</v>
      </c>
      <c r="H2" t="s">
        <v>213</v>
      </c>
    </row>
    <row r="3" spans="2:15" x14ac:dyDescent="0.2">
      <c r="B3" t="s">
        <v>174</v>
      </c>
      <c r="C3">
        <v>3</v>
      </c>
      <c r="H3" t="s">
        <v>211</v>
      </c>
      <c r="I3" s="103">
        <f>D5+I47+C9</f>
        <v>46785363.841094233</v>
      </c>
      <c r="J3" t="s">
        <v>254</v>
      </c>
    </row>
    <row r="4" spans="2:15" x14ac:dyDescent="0.2">
      <c r="B4" t="s">
        <v>175</v>
      </c>
      <c r="C4">
        <f>C2*C3</f>
        <v>75</v>
      </c>
      <c r="D4" t="s">
        <v>210</v>
      </c>
      <c r="H4" t="s">
        <v>212</v>
      </c>
      <c r="I4" s="103">
        <f>D6+D47+D9</f>
        <v>157876761.62101364</v>
      </c>
      <c r="J4" t="s">
        <v>255</v>
      </c>
    </row>
    <row r="5" spans="2:15" ht="16" customHeight="1" x14ac:dyDescent="0.2">
      <c r="B5" t="s">
        <v>176</v>
      </c>
      <c r="C5" s="150">
        <v>200000</v>
      </c>
      <c r="D5" s="103">
        <f>C4*C5</f>
        <v>15000000</v>
      </c>
      <c r="F5" s="239" t="s">
        <v>309</v>
      </c>
      <c r="G5" s="239"/>
    </row>
    <row r="6" spans="2:15" ht="16" customHeight="1" x14ac:dyDescent="0.2">
      <c r="B6" t="s">
        <v>177</v>
      </c>
      <c r="C6" s="150">
        <v>500000</v>
      </c>
      <c r="D6" s="103">
        <f>C4*C6</f>
        <v>37500000</v>
      </c>
      <c r="F6" s="239"/>
      <c r="G6" s="239"/>
    </row>
    <row r="7" spans="2:15" ht="16" customHeight="1" x14ac:dyDescent="0.2">
      <c r="B7" t="s">
        <v>280</v>
      </c>
      <c r="C7" s="154">
        <v>1</v>
      </c>
      <c r="D7" s="159">
        <v>17</v>
      </c>
      <c r="F7" s="239"/>
      <c r="G7" s="239"/>
    </row>
    <row r="8" spans="2:15" x14ac:dyDescent="0.2">
      <c r="B8" t="s">
        <v>258</v>
      </c>
      <c r="C8" s="157">
        <f>'Winch Energy Cost'!F17</f>
        <v>2.659406565656566E-2</v>
      </c>
      <c r="D8" s="160">
        <f>'Winch Energy Cost'!C17</f>
        <v>0.11553030303030302</v>
      </c>
      <c r="F8" s="239"/>
      <c r="G8" s="239"/>
    </row>
    <row r="9" spans="2:15" x14ac:dyDescent="0.2">
      <c r="B9" t="s">
        <v>256</v>
      </c>
      <c r="C9" s="102">
        <f>C8*'Finance Main'!Z5*10</f>
        <v>1679527.5045351333</v>
      </c>
      <c r="D9" s="161">
        <f>D8*'Finance Main'!U5*10</f>
        <v>9384967.6704391725</v>
      </c>
      <c r="E9" s="103"/>
      <c r="F9" s="239"/>
      <c r="G9" s="239"/>
    </row>
    <row r="10" spans="2:15" ht="17" thickBot="1" x14ac:dyDescent="0.25">
      <c r="C10" s="102"/>
      <c r="D10" s="102"/>
      <c r="E10" s="103"/>
    </row>
    <row r="11" spans="2:15" x14ac:dyDescent="0.2">
      <c r="B11" s="133" t="s">
        <v>178</v>
      </c>
      <c r="C11" s="229" t="s">
        <v>187</v>
      </c>
      <c r="D11" s="93"/>
      <c r="E11" s="93"/>
      <c r="F11" s="93"/>
      <c r="G11" s="93"/>
      <c r="H11" s="93"/>
      <c r="I11" s="94"/>
      <c r="J11" t="s">
        <v>214</v>
      </c>
      <c r="K11" t="s">
        <v>214</v>
      </c>
      <c r="L11" t="s">
        <v>214</v>
      </c>
      <c r="M11" t="s">
        <v>214</v>
      </c>
      <c r="N11" t="s">
        <v>214</v>
      </c>
      <c r="O11" t="s">
        <v>214</v>
      </c>
    </row>
    <row r="12" spans="2:15" x14ac:dyDescent="0.2">
      <c r="B12" s="95" t="s">
        <v>180</v>
      </c>
      <c r="C12" s="3"/>
      <c r="D12" s="3">
        <v>2000</v>
      </c>
      <c r="E12" s="3">
        <v>2000</v>
      </c>
      <c r="F12" s="3">
        <v>1000</v>
      </c>
      <c r="G12" s="3">
        <v>1000</v>
      </c>
      <c r="H12" s="3">
        <v>500</v>
      </c>
      <c r="I12" s="173">
        <v>500</v>
      </c>
      <c r="J12">
        <v>2000</v>
      </c>
      <c r="K12">
        <v>2000</v>
      </c>
      <c r="L12">
        <v>1000</v>
      </c>
      <c r="M12">
        <v>1000</v>
      </c>
      <c r="N12">
        <v>500</v>
      </c>
      <c r="O12">
        <v>500</v>
      </c>
    </row>
    <row r="13" spans="2:15" x14ac:dyDescent="0.2">
      <c r="B13" s="95" t="s">
        <v>298</v>
      </c>
      <c r="C13" s="3"/>
      <c r="D13" s="230">
        <v>700</v>
      </c>
      <c r="E13" s="3">
        <v>350</v>
      </c>
      <c r="F13" s="3">
        <v>350</v>
      </c>
      <c r="G13" s="3">
        <v>175</v>
      </c>
      <c r="H13" s="3">
        <v>175</v>
      </c>
      <c r="I13" s="173">
        <f>350/4</f>
        <v>87.5</v>
      </c>
      <c r="J13" s="147">
        <v>700</v>
      </c>
      <c r="K13">
        <v>350</v>
      </c>
      <c r="L13">
        <v>350</v>
      </c>
      <c r="M13">
        <v>175</v>
      </c>
      <c r="N13">
        <v>175</v>
      </c>
      <c r="O13">
        <f>350/4</f>
        <v>87.5</v>
      </c>
    </row>
    <row r="14" spans="2:15" s="148" customFormat="1" ht="34" hidden="1" x14ac:dyDescent="0.2">
      <c r="B14" s="228" t="s">
        <v>182</v>
      </c>
      <c r="C14" s="148" t="s">
        <v>188</v>
      </c>
      <c r="D14" s="186">
        <v>33</v>
      </c>
      <c r="E14" s="186">
        <v>39.5</v>
      </c>
      <c r="F14" s="186">
        <v>33</v>
      </c>
      <c r="G14" s="186">
        <v>39.5</v>
      </c>
      <c r="H14" s="186">
        <v>33</v>
      </c>
      <c r="I14" s="187">
        <v>39.5</v>
      </c>
      <c r="J14" s="149">
        <v>33</v>
      </c>
      <c r="K14" s="149">
        <v>39.5</v>
      </c>
      <c r="L14" s="149">
        <v>33</v>
      </c>
      <c r="M14" s="149">
        <v>39.5</v>
      </c>
      <c r="N14" s="149">
        <v>33</v>
      </c>
      <c r="O14" s="149">
        <v>39.5</v>
      </c>
    </row>
    <row r="15" spans="2:15" hidden="1" x14ac:dyDescent="0.2">
      <c r="B15" s="95" t="s">
        <v>198</v>
      </c>
      <c r="C15" t="s">
        <v>189</v>
      </c>
      <c r="D15" s="185">
        <v>45</v>
      </c>
      <c r="E15" s="185">
        <v>45</v>
      </c>
      <c r="F15" s="185">
        <v>45</v>
      </c>
      <c r="G15" s="185">
        <v>45</v>
      </c>
      <c r="H15" s="185">
        <v>45</v>
      </c>
      <c r="I15" s="188">
        <v>45</v>
      </c>
      <c r="J15" s="147">
        <v>45</v>
      </c>
      <c r="K15" s="147">
        <v>45</v>
      </c>
      <c r="L15" s="147">
        <v>45</v>
      </c>
      <c r="M15" s="147">
        <v>45</v>
      </c>
      <c r="N15" s="147">
        <v>45</v>
      </c>
      <c r="O15" s="147">
        <v>45</v>
      </c>
    </row>
    <row r="16" spans="2:15" hidden="1" x14ac:dyDescent="0.2">
      <c r="B16" s="95" t="s">
        <v>184</v>
      </c>
      <c r="C16" t="s">
        <v>190</v>
      </c>
      <c r="D16" s="185">
        <f>TAN(RADIANS(D15))*D12</f>
        <v>1999.9999999999998</v>
      </c>
      <c r="E16" s="185">
        <f t="shared" ref="E16:O16" si="0">TAN(RADIANS(E15))*E12</f>
        <v>1999.9999999999998</v>
      </c>
      <c r="F16" s="185">
        <f t="shared" si="0"/>
        <v>999.99999999999989</v>
      </c>
      <c r="G16" s="185">
        <f t="shared" si="0"/>
        <v>999.99999999999989</v>
      </c>
      <c r="H16" s="185">
        <f t="shared" si="0"/>
        <v>499.99999999999994</v>
      </c>
      <c r="I16" s="188">
        <f t="shared" si="0"/>
        <v>499.99999999999994</v>
      </c>
      <c r="J16" s="147">
        <f t="shared" si="0"/>
        <v>1999.9999999999998</v>
      </c>
      <c r="K16" s="147">
        <f t="shared" si="0"/>
        <v>1999.9999999999998</v>
      </c>
      <c r="L16" s="147">
        <f t="shared" si="0"/>
        <v>999.99999999999989</v>
      </c>
      <c r="M16" s="147">
        <f t="shared" si="0"/>
        <v>999.99999999999989</v>
      </c>
      <c r="N16" s="147">
        <f t="shared" si="0"/>
        <v>499.99999999999994</v>
      </c>
      <c r="O16" s="147">
        <f t="shared" si="0"/>
        <v>499.99999999999994</v>
      </c>
    </row>
    <row r="17" spans="2:15" hidden="1" x14ac:dyDescent="0.2">
      <c r="B17" s="95" t="s">
        <v>185</v>
      </c>
      <c r="C17" t="s">
        <v>191</v>
      </c>
      <c r="D17" s="185">
        <f>D16-TAN(RADIANS(D14))*D12</f>
        <v>701.18481360497844</v>
      </c>
      <c r="E17" s="185">
        <f t="shared" ref="E17:O17" si="1">E16-TAN(RADIANS(E14))*E12</f>
        <v>351.3272283650083</v>
      </c>
      <c r="F17" s="185">
        <f t="shared" si="1"/>
        <v>350.59240680248922</v>
      </c>
      <c r="G17" s="185">
        <f t="shared" si="1"/>
        <v>175.66361418250415</v>
      </c>
      <c r="H17" s="185">
        <f t="shared" si="1"/>
        <v>175.29620340124461</v>
      </c>
      <c r="I17" s="188">
        <f t="shared" si="1"/>
        <v>87.831807091252074</v>
      </c>
      <c r="J17" s="147">
        <f t="shared" si="1"/>
        <v>701.18481360497844</v>
      </c>
      <c r="K17" s="147">
        <f t="shared" si="1"/>
        <v>351.3272283650083</v>
      </c>
      <c r="L17" s="147">
        <f t="shared" si="1"/>
        <v>350.59240680248922</v>
      </c>
      <c r="M17" s="147">
        <f t="shared" si="1"/>
        <v>175.66361418250415</v>
      </c>
      <c r="N17" s="147">
        <f t="shared" si="1"/>
        <v>175.29620340124461</v>
      </c>
      <c r="O17" s="147">
        <f t="shared" si="1"/>
        <v>87.831807091252074</v>
      </c>
    </row>
    <row r="18" spans="2:15" hidden="1" x14ac:dyDescent="0.2">
      <c r="B18" s="95" t="s">
        <v>186</v>
      </c>
      <c r="C18" t="s">
        <v>192</v>
      </c>
      <c r="D18" s="185">
        <f>D12*COS(RADIANS(D14))</f>
        <v>1677.3411358908481</v>
      </c>
      <c r="E18" s="185">
        <f t="shared" ref="E18:O18" si="2">E12*COS(RADIANS(E14))</f>
        <v>1543.24916677544</v>
      </c>
      <c r="F18" s="185">
        <f t="shared" si="2"/>
        <v>838.67056794542407</v>
      </c>
      <c r="G18" s="185">
        <f t="shared" si="2"/>
        <v>771.62458338772001</v>
      </c>
      <c r="H18" s="185">
        <f t="shared" si="2"/>
        <v>419.33528397271203</v>
      </c>
      <c r="I18" s="188">
        <f t="shared" si="2"/>
        <v>385.81229169386</v>
      </c>
      <c r="J18" s="147">
        <f t="shared" si="2"/>
        <v>1677.3411358908481</v>
      </c>
      <c r="K18" s="147">
        <f t="shared" si="2"/>
        <v>1543.24916677544</v>
      </c>
      <c r="L18" s="147">
        <f t="shared" si="2"/>
        <v>838.67056794542407</v>
      </c>
      <c r="M18" s="147">
        <f t="shared" si="2"/>
        <v>771.62458338772001</v>
      </c>
      <c r="N18" s="147">
        <f t="shared" si="2"/>
        <v>419.33528397271203</v>
      </c>
      <c r="O18" s="147">
        <f t="shared" si="2"/>
        <v>385.81229169386</v>
      </c>
    </row>
    <row r="19" spans="2:15" hidden="1" x14ac:dyDescent="0.2">
      <c r="B19" s="95" t="s">
        <v>193</v>
      </c>
      <c r="C19" t="s">
        <v>194</v>
      </c>
      <c r="D19" s="185">
        <f>D12*TAN(RADIANS(D14))</f>
        <v>1298.8151863950213</v>
      </c>
      <c r="E19" s="185">
        <f t="shared" ref="E19:O19" si="3">E12*TAN(RADIANS(E14))</f>
        <v>1648.6727716349915</v>
      </c>
      <c r="F19" s="185">
        <f t="shared" si="3"/>
        <v>649.40759319751066</v>
      </c>
      <c r="G19" s="185">
        <f t="shared" si="3"/>
        <v>824.33638581749574</v>
      </c>
      <c r="H19" s="185">
        <f t="shared" si="3"/>
        <v>324.70379659875533</v>
      </c>
      <c r="I19" s="188">
        <f t="shared" si="3"/>
        <v>412.16819290874787</v>
      </c>
      <c r="J19" s="147">
        <f t="shared" si="3"/>
        <v>1298.8151863950213</v>
      </c>
      <c r="K19" s="147">
        <f t="shared" si="3"/>
        <v>1648.6727716349915</v>
      </c>
      <c r="L19" s="147">
        <f t="shared" si="3"/>
        <v>649.40759319751066</v>
      </c>
      <c r="M19" s="147">
        <f t="shared" si="3"/>
        <v>824.33638581749574</v>
      </c>
      <c r="N19" s="147">
        <f t="shared" si="3"/>
        <v>324.70379659875533</v>
      </c>
      <c r="O19" s="147">
        <f t="shared" si="3"/>
        <v>412.16819290874787</v>
      </c>
    </row>
    <row r="20" spans="2:15" hidden="1" x14ac:dyDescent="0.2">
      <c r="B20" s="95" t="s">
        <v>195</v>
      </c>
      <c r="C20" t="s">
        <v>197</v>
      </c>
      <c r="D20" s="185">
        <f>2*D16-D19</f>
        <v>2701.1848136049784</v>
      </c>
      <c r="E20" s="185">
        <f t="shared" ref="E20:O20" si="4">2*E16-E19</f>
        <v>2351.3272283650081</v>
      </c>
      <c r="F20" s="185">
        <f t="shared" si="4"/>
        <v>1350.5924068024892</v>
      </c>
      <c r="G20" s="185">
        <f t="shared" si="4"/>
        <v>1175.663614182504</v>
      </c>
      <c r="H20" s="185">
        <f t="shared" si="4"/>
        <v>675.29620340124461</v>
      </c>
      <c r="I20" s="188">
        <f t="shared" si="4"/>
        <v>587.83180709125202</v>
      </c>
      <c r="J20" s="147">
        <f t="shared" si="4"/>
        <v>2701.1848136049784</v>
      </c>
      <c r="K20" s="147">
        <f t="shared" si="4"/>
        <v>2351.3272283650081</v>
      </c>
      <c r="L20" s="147">
        <f t="shared" si="4"/>
        <v>1350.5924068024892</v>
      </c>
      <c r="M20" s="147">
        <f t="shared" si="4"/>
        <v>1175.663614182504</v>
      </c>
      <c r="N20" s="147">
        <f t="shared" si="4"/>
        <v>675.29620340124461</v>
      </c>
      <c r="O20" s="147">
        <f t="shared" si="4"/>
        <v>587.83180709125202</v>
      </c>
    </row>
    <row r="21" spans="2:15" hidden="1" x14ac:dyDescent="0.2">
      <c r="B21" s="95" t="s">
        <v>183</v>
      </c>
      <c r="C21" t="s">
        <v>199</v>
      </c>
      <c r="D21" s="185">
        <f>DEGREES(ATAN(D20/D12))</f>
        <v>53.48316688075851</v>
      </c>
      <c r="E21" s="185">
        <f t="shared" ref="E21:O21" si="5">DEGREES(ATAN(E20/E12))</f>
        <v>49.616061994940324</v>
      </c>
      <c r="F21" s="185">
        <f t="shared" si="5"/>
        <v>53.48316688075851</v>
      </c>
      <c r="G21" s="185">
        <f t="shared" si="5"/>
        <v>49.616061994940324</v>
      </c>
      <c r="H21" s="185">
        <f t="shared" si="5"/>
        <v>53.48316688075851</v>
      </c>
      <c r="I21" s="188">
        <f t="shared" si="5"/>
        <v>49.616061994940324</v>
      </c>
      <c r="J21" s="147">
        <f t="shared" si="5"/>
        <v>53.48316688075851</v>
      </c>
      <c r="K21" s="147">
        <f t="shared" si="5"/>
        <v>49.616061994940324</v>
      </c>
      <c r="L21" s="147">
        <f t="shared" si="5"/>
        <v>53.48316688075851</v>
      </c>
      <c r="M21" s="147">
        <f t="shared" si="5"/>
        <v>49.616061994940324</v>
      </c>
      <c r="N21" s="147">
        <f t="shared" si="5"/>
        <v>53.48316688075851</v>
      </c>
      <c r="O21" s="147">
        <f t="shared" si="5"/>
        <v>49.616061994940324</v>
      </c>
    </row>
    <row r="22" spans="2:15" hidden="1" x14ac:dyDescent="0.2">
      <c r="B22" s="95" t="s">
        <v>196</v>
      </c>
      <c r="C22" t="s">
        <v>200</v>
      </c>
      <c r="D22" s="185">
        <f>SQRT(D20^2+D12^2)</f>
        <v>3361.0116627661623</v>
      </c>
      <c r="E22" s="185">
        <f t="shared" ref="E22:O22" si="6">SQRT(E20^2+E12^2)</f>
        <v>3086.8656813749885</v>
      </c>
      <c r="F22" s="185">
        <f t="shared" si="6"/>
        <v>1680.5058313830812</v>
      </c>
      <c r="G22" s="185">
        <f t="shared" si="6"/>
        <v>1543.4328406874943</v>
      </c>
      <c r="H22" s="185">
        <f t="shared" si="6"/>
        <v>840.25291569154058</v>
      </c>
      <c r="I22" s="188">
        <f t="shared" si="6"/>
        <v>771.71642034374713</v>
      </c>
      <c r="J22" s="147">
        <f t="shared" si="6"/>
        <v>3361.0116627661623</v>
      </c>
      <c r="K22" s="147">
        <f t="shared" si="6"/>
        <v>3086.8656813749885</v>
      </c>
      <c r="L22" s="147">
        <f t="shared" si="6"/>
        <v>1680.5058313830812</v>
      </c>
      <c r="M22" s="147">
        <f t="shared" si="6"/>
        <v>1543.4328406874943</v>
      </c>
      <c r="N22" s="147">
        <f t="shared" si="6"/>
        <v>840.25291569154058</v>
      </c>
      <c r="O22" s="147">
        <f t="shared" si="6"/>
        <v>771.71642034374713</v>
      </c>
    </row>
    <row r="23" spans="2:15" hidden="1" x14ac:dyDescent="0.2">
      <c r="B23" s="95" t="s">
        <v>201</v>
      </c>
      <c r="C23" t="s">
        <v>202</v>
      </c>
      <c r="D23" s="185">
        <f>D22-D18</f>
        <v>1683.6705268753142</v>
      </c>
      <c r="E23" s="185">
        <f t="shared" ref="E23:O23" si="7">E22-E18</f>
        <v>1543.6165145995485</v>
      </c>
      <c r="F23" s="185">
        <f t="shared" si="7"/>
        <v>841.83526343765709</v>
      </c>
      <c r="G23" s="185">
        <f t="shared" si="7"/>
        <v>771.80825729977425</v>
      </c>
      <c r="H23" s="185">
        <f t="shared" si="7"/>
        <v>420.91763171882855</v>
      </c>
      <c r="I23" s="188">
        <f t="shared" si="7"/>
        <v>385.90412864988713</v>
      </c>
      <c r="J23" s="147">
        <f t="shared" si="7"/>
        <v>1683.6705268753142</v>
      </c>
      <c r="K23" s="147">
        <f t="shared" si="7"/>
        <v>1543.6165145995485</v>
      </c>
      <c r="L23" s="147">
        <f t="shared" si="7"/>
        <v>841.83526343765709</v>
      </c>
      <c r="M23" s="147">
        <f t="shared" si="7"/>
        <v>771.80825729977425</v>
      </c>
      <c r="N23" s="147">
        <f t="shared" si="7"/>
        <v>420.91763171882855</v>
      </c>
      <c r="O23" s="147">
        <f t="shared" si="7"/>
        <v>385.90412864988713</v>
      </c>
    </row>
    <row r="24" spans="2:15" ht="68" hidden="1" x14ac:dyDescent="0.2">
      <c r="B24" s="95" t="s">
        <v>203</v>
      </c>
      <c r="C24" s="148" t="s">
        <v>208</v>
      </c>
      <c r="D24">
        <f>D22</f>
        <v>3361.0116627661623</v>
      </c>
      <c r="E24">
        <f t="shared" ref="E24:O24" si="8">E22</f>
        <v>3086.8656813749885</v>
      </c>
      <c r="F24">
        <f t="shared" si="8"/>
        <v>1680.5058313830812</v>
      </c>
      <c r="G24">
        <f t="shared" si="8"/>
        <v>1543.4328406874943</v>
      </c>
      <c r="H24">
        <f t="shared" si="8"/>
        <v>840.25291569154058</v>
      </c>
      <c r="I24" s="91">
        <f t="shared" si="8"/>
        <v>771.71642034374713</v>
      </c>
      <c r="J24">
        <f t="shared" si="8"/>
        <v>3361.0116627661623</v>
      </c>
      <c r="K24">
        <f t="shared" si="8"/>
        <v>3086.8656813749885</v>
      </c>
      <c r="L24">
        <f t="shared" si="8"/>
        <v>1680.5058313830812</v>
      </c>
      <c r="M24">
        <f t="shared" si="8"/>
        <v>1543.4328406874943</v>
      </c>
      <c r="N24">
        <f t="shared" si="8"/>
        <v>840.25291569154058</v>
      </c>
      <c r="O24">
        <f t="shared" si="8"/>
        <v>771.71642034374713</v>
      </c>
    </row>
    <row r="25" spans="2:15" hidden="1" x14ac:dyDescent="0.2">
      <c r="B25" s="95" t="s">
        <v>181</v>
      </c>
      <c r="D25">
        <v>3</v>
      </c>
      <c r="E25">
        <v>3</v>
      </c>
      <c r="F25">
        <v>3</v>
      </c>
      <c r="G25">
        <v>3</v>
      </c>
      <c r="H25">
        <v>3</v>
      </c>
      <c r="I25" s="91">
        <v>3</v>
      </c>
      <c r="J25">
        <v>6</v>
      </c>
      <c r="K25">
        <v>6</v>
      </c>
      <c r="L25">
        <v>6</v>
      </c>
      <c r="M25">
        <v>6</v>
      </c>
      <c r="N25">
        <v>6</v>
      </c>
      <c r="O25">
        <v>6</v>
      </c>
    </row>
    <row r="26" spans="2:15" hidden="1" x14ac:dyDescent="0.2">
      <c r="B26" s="95" t="s">
        <v>243</v>
      </c>
      <c r="C26" t="s">
        <v>204</v>
      </c>
      <c r="D26">
        <f t="shared" ref="D26:O26" si="9">D24*D25</f>
        <v>10083.034988298486</v>
      </c>
      <c r="E26">
        <f t="shared" si="9"/>
        <v>9260.5970441249665</v>
      </c>
      <c r="F26">
        <f t="shared" si="9"/>
        <v>5041.5174941492432</v>
      </c>
      <c r="G26">
        <f t="shared" si="9"/>
        <v>4630.2985220624832</v>
      </c>
      <c r="H26">
        <f t="shared" si="9"/>
        <v>2520.7587470746216</v>
      </c>
      <c r="I26" s="91">
        <f t="shared" si="9"/>
        <v>2315.1492610312416</v>
      </c>
      <c r="J26">
        <f t="shared" si="9"/>
        <v>20166.069976596973</v>
      </c>
      <c r="K26">
        <f t="shared" si="9"/>
        <v>18521.194088249933</v>
      </c>
      <c r="L26">
        <f t="shared" si="9"/>
        <v>10083.034988298486</v>
      </c>
      <c r="M26">
        <f t="shared" si="9"/>
        <v>9260.5970441249665</v>
      </c>
      <c r="N26">
        <f t="shared" si="9"/>
        <v>5041.5174941492432</v>
      </c>
      <c r="O26">
        <f t="shared" si="9"/>
        <v>4630.2985220624832</v>
      </c>
    </row>
    <row r="27" spans="2:15" hidden="1" x14ac:dyDescent="0.2">
      <c r="B27" s="95" t="s">
        <v>244</v>
      </c>
      <c r="C27" t="s">
        <v>245</v>
      </c>
      <c r="D27">
        <f>D12/COS(RADIANS(30))*D25</f>
        <v>6928.2032302755088</v>
      </c>
      <c r="E27">
        <f t="shared" ref="E27:O27" si="10">E12/COS(RADIANS(30))*E25</f>
        <v>6928.2032302755088</v>
      </c>
      <c r="F27">
        <f t="shared" si="10"/>
        <v>3464.1016151377544</v>
      </c>
      <c r="G27">
        <f t="shared" si="10"/>
        <v>3464.1016151377544</v>
      </c>
      <c r="H27">
        <f t="shared" si="10"/>
        <v>1732.0508075688772</v>
      </c>
      <c r="I27" s="91">
        <f t="shared" si="10"/>
        <v>1732.0508075688772</v>
      </c>
      <c r="J27">
        <f t="shared" si="10"/>
        <v>13856.406460551018</v>
      </c>
      <c r="K27">
        <f t="shared" si="10"/>
        <v>13856.406460551018</v>
      </c>
      <c r="L27">
        <f t="shared" si="10"/>
        <v>6928.2032302755088</v>
      </c>
      <c r="M27">
        <f t="shared" si="10"/>
        <v>6928.2032302755088</v>
      </c>
      <c r="N27">
        <f t="shared" si="10"/>
        <v>3464.1016151377544</v>
      </c>
      <c r="O27">
        <f t="shared" si="10"/>
        <v>3464.1016151377544</v>
      </c>
    </row>
    <row r="28" spans="2:15" hidden="1" x14ac:dyDescent="0.2">
      <c r="B28" s="95" t="s">
        <v>246</v>
      </c>
      <c r="C28" t="s">
        <v>247</v>
      </c>
      <c r="D28">
        <f>D26-D27</f>
        <v>3154.8317580229777</v>
      </c>
      <c r="E28">
        <f t="shared" ref="E28:O28" si="11">E26-E27</f>
        <v>2332.3938138494577</v>
      </c>
      <c r="F28">
        <f t="shared" si="11"/>
        <v>1577.4158790114889</v>
      </c>
      <c r="G28">
        <f t="shared" si="11"/>
        <v>1166.1969069247289</v>
      </c>
      <c r="H28">
        <f t="shared" si="11"/>
        <v>788.70793950574443</v>
      </c>
      <c r="I28" s="91">
        <f t="shared" si="11"/>
        <v>583.09845346236443</v>
      </c>
      <c r="J28">
        <f t="shared" si="11"/>
        <v>6309.6635160459555</v>
      </c>
      <c r="K28">
        <f t="shared" si="11"/>
        <v>4664.7876276989155</v>
      </c>
      <c r="L28">
        <f t="shared" si="11"/>
        <v>3154.8317580229777</v>
      </c>
      <c r="M28">
        <f t="shared" si="11"/>
        <v>2332.3938138494577</v>
      </c>
      <c r="N28">
        <f t="shared" si="11"/>
        <v>1577.4158790114889</v>
      </c>
      <c r="O28">
        <f t="shared" si="11"/>
        <v>1166.1969069247289</v>
      </c>
    </row>
    <row r="29" spans="2:15" hidden="1" x14ac:dyDescent="0.2">
      <c r="B29" s="95" t="s">
        <v>205</v>
      </c>
      <c r="C29" s="189">
        <v>1000</v>
      </c>
      <c r="I29" s="91"/>
    </row>
    <row r="30" spans="2:15" hidden="1" x14ac:dyDescent="0.2">
      <c r="B30" s="95" t="s">
        <v>206</v>
      </c>
      <c r="C30" t="s">
        <v>207</v>
      </c>
      <c r="D30" s="190">
        <f>$C$29*D28</f>
        <v>3154831.758022978</v>
      </c>
      <c r="E30" s="190">
        <f t="shared" ref="E30:O30" si="12">$C$29*E28</f>
        <v>2332393.8138494575</v>
      </c>
      <c r="F30" s="190">
        <f t="shared" si="12"/>
        <v>1577415.879011489</v>
      </c>
      <c r="G30" s="190">
        <f t="shared" si="12"/>
        <v>1166196.9069247288</v>
      </c>
      <c r="H30" s="190">
        <f t="shared" si="12"/>
        <v>788707.93950574449</v>
      </c>
      <c r="I30" s="191">
        <f t="shared" si="12"/>
        <v>583098.45346236438</v>
      </c>
      <c r="J30" s="102">
        <f t="shared" si="12"/>
        <v>6309663.5160459559</v>
      </c>
      <c r="K30" s="102">
        <f t="shared" si="12"/>
        <v>4664787.6276989151</v>
      </c>
      <c r="L30" s="102">
        <f t="shared" si="12"/>
        <v>3154831.758022978</v>
      </c>
      <c r="M30" s="102">
        <f t="shared" si="12"/>
        <v>2332393.8138494575</v>
      </c>
      <c r="N30" s="102">
        <f t="shared" si="12"/>
        <v>1577415.879011489</v>
      </c>
      <c r="O30" s="102">
        <f t="shared" si="12"/>
        <v>1166196.9069247288</v>
      </c>
    </row>
    <row r="31" spans="2:15" hidden="1" x14ac:dyDescent="0.2">
      <c r="B31" s="95" t="s">
        <v>248</v>
      </c>
      <c r="C31" s="192">
        <v>1</v>
      </c>
      <c r="I31" s="91"/>
    </row>
    <row r="32" spans="2:15" hidden="1" x14ac:dyDescent="0.2">
      <c r="B32" s="95" t="s">
        <v>250</v>
      </c>
      <c r="C32" t="s">
        <v>249</v>
      </c>
      <c r="D32" s="190">
        <f>$C$31*D30</f>
        <v>3154831.758022978</v>
      </c>
      <c r="E32" s="190">
        <f t="shared" ref="E32:O32" si="13">$C$31*E30</f>
        <v>2332393.8138494575</v>
      </c>
      <c r="F32" s="190">
        <f t="shared" si="13"/>
        <v>1577415.879011489</v>
      </c>
      <c r="G32" s="190">
        <f t="shared" si="13"/>
        <v>1166196.9069247288</v>
      </c>
      <c r="H32" s="190">
        <f t="shared" si="13"/>
        <v>788707.93950574449</v>
      </c>
      <c r="I32" s="191">
        <f t="shared" si="13"/>
        <v>583098.45346236438</v>
      </c>
      <c r="J32" s="102">
        <f t="shared" si="13"/>
        <v>6309663.5160459559</v>
      </c>
      <c r="K32" s="102">
        <f t="shared" si="13"/>
        <v>4664787.6276989151</v>
      </c>
      <c r="L32" s="102">
        <f t="shared" si="13"/>
        <v>3154831.758022978</v>
      </c>
      <c r="M32" s="102">
        <f t="shared" si="13"/>
        <v>2332393.8138494575</v>
      </c>
      <c r="N32" s="102">
        <f t="shared" si="13"/>
        <v>1577415.879011489</v>
      </c>
      <c r="O32" s="102">
        <f t="shared" si="13"/>
        <v>1166196.9069247288</v>
      </c>
    </row>
    <row r="33" spans="2:18" x14ac:dyDescent="0.2">
      <c r="B33" s="95" t="s">
        <v>300</v>
      </c>
      <c r="C33" t="s">
        <v>209</v>
      </c>
      <c r="D33" s="234">
        <f>$C$2*D32</f>
        <v>78870793.950574443</v>
      </c>
      <c r="E33" s="146">
        <f t="shared" ref="E33:O33" si="14">$C$2*E32</f>
        <v>58309845.346236438</v>
      </c>
      <c r="F33" s="146">
        <f t="shared" si="14"/>
        <v>39435396.975287221</v>
      </c>
      <c r="G33" s="146">
        <f t="shared" si="14"/>
        <v>29154922.673118219</v>
      </c>
      <c r="H33" s="146">
        <f t="shared" si="14"/>
        <v>19717698.487643611</v>
      </c>
      <c r="I33" s="231">
        <f t="shared" si="14"/>
        <v>14577461.336559109</v>
      </c>
      <c r="J33" s="184">
        <f t="shared" si="14"/>
        <v>157741587.90114889</v>
      </c>
      <c r="K33" s="184">
        <f t="shared" si="14"/>
        <v>116619690.69247288</v>
      </c>
      <c r="L33" s="184">
        <f t="shared" si="14"/>
        <v>78870793.950574443</v>
      </c>
      <c r="M33" s="184">
        <f t="shared" si="14"/>
        <v>58309845.346236438</v>
      </c>
      <c r="N33" s="184">
        <f t="shared" si="14"/>
        <v>39435396.975287221</v>
      </c>
      <c r="O33" s="184">
        <f t="shared" si="14"/>
        <v>29154922.673118219</v>
      </c>
    </row>
    <row r="34" spans="2:18" x14ac:dyDescent="0.2">
      <c r="B34" s="95"/>
      <c r="I34" s="91"/>
    </row>
    <row r="35" spans="2:18" x14ac:dyDescent="0.2">
      <c r="B35" s="125" t="s">
        <v>172</v>
      </c>
      <c r="I35" s="91"/>
    </row>
    <row r="36" spans="2:18" hidden="1" x14ac:dyDescent="0.2">
      <c r="B36" s="95" t="s">
        <v>301</v>
      </c>
      <c r="D36">
        <f>5*240</f>
        <v>1200</v>
      </c>
      <c r="E36">
        <f t="shared" ref="E36:O36" si="15">5*240</f>
        <v>1200</v>
      </c>
      <c r="F36">
        <f t="shared" si="15"/>
        <v>1200</v>
      </c>
      <c r="G36">
        <f t="shared" si="15"/>
        <v>1200</v>
      </c>
      <c r="H36">
        <f t="shared" si="15"/>
        <v>1200</v>
      </c>
      <c r="I36" s="91">
        <f t="shared" si="15"/>
        <v>1200</v>
      </c>
      <c r="J36">
        <f t="shared" si="15"/>
        <v>1200</v>
      </c>
      <c r="K36">
        <f t="shared" si="15"/>
        <v>1200</v>
      </c>
      <c r="L36">
        <f t="shared" si="15"/>
        <v>1200</v>
      </c>
      <c r="M36">
        <f t="shared" si="15"/>
        <v>1200</v>
      </c>
      <c r="N36">
        <f t="shared" si="15"/>
        <v>1200</v>
      </c>
      <c r="O36">
        <f t="shared" si="15"/>
        <v>1200</v>
      </c>
    </row>
    <row r="37" spans="2:18" hidden="1" x14ac:dyDescent="0.2">
      <c r="B37" s="95" t="s">
        <v>253</v>
      </c>
      <c r="C37" s="189">
        <f>500*1.29</f>
        <v>645</v>
      </c>
      <c r="I37" s="91"/>
    </row>
    <row r="38" spans="2:18" hidden="1" x14ac:dyDescent="0.2">
      <c r="B38" s="95" t="s">
        <v>251</v>
      </c>
      <c r="C38" t="s">
        <v>252</v>
      </c>
      <c r="D38" s="103">
        <f>D36*$C$37</f>
        <v>774000</v>
      </c>
      <c r="E38" s="103">
        <f t="shared" ref="E38:O38" si="16">E36*$C$37</f>
        <v>774000</v>
      </c>
      <c r="F38" s="103">
        <f t="shared" si="16"/>
        <v>774000</v>
      </c>
      <c r="G38" s="103">
        <f t="shared" si="16"/>
        <v>774000</v>
      </c>
      <c r="H38" s="103">
        <f t="shared" si="16"/>
        <v>774000</v>
      </c>
      <c r="I38" s="193">
        <f t="shared" si="16"/>
        <v>774000</v>
      </c>
      <c r="J38" s="103">
        <f t="shared" si="16"/>
        <v>774000</v>
      </c>
      <c r="K38" s="103">
        <f t="shared" si="16"/>
        <v>774000</v>
      </c>
      <c r="L38" s="103">
        <f t="shared" si="16"/>
        <v>774000</v>
      </c>
      <c r="M38" s="103">
        <f t="shared" si="16"/>
        <v>774000</v>
      </c>
      <c r="N38" s="103">
        <f t="shared" si="16"/>
        <v>774000</v>
      </c>
      <c r="O38" s="103">
        <f t="shared" si="16"/>
        <v>774000</v>
      </c>
    </row>
    <row r="39" spans="2:18" hidden="1" x14ac:dyDescent="0.2">
      <c r="B39" s="95"/>
      <c r="D39" s="103"/>
      <c r="E39" s="103"/>
      <c r="F39" s="103"/>
      <c r="G39" s="103"/>
      <c r="H39" s="103"/>
      <c r="I39" s="193"/>
      <c r="J39" s="103"/>
      <c r="K39" s="103"/>
      <c r="L39" s="103"/>
      <c r="M39" s="103"/>
      <c r="N39" s="103"/>
      <c r="O39" s="103"/>
    </row>
    <row r="40" spans="2:18" hidden="1" x14ac:dyDescent="0.2">
      <c r="B40" s="95" t="s">
        <v>215</v>
      </c>
      <c r="D40">
        <f>D13</f>
        <v>700</v>
      </c>
      <c r="E40">
        <f t="shared" ref="E40:N40" si="17">E13</f>
        <v>350</v>
      </c>
      <c r="F40">
        <f t="shared" si="17"/>
        <v>350</v>
      </c>
      <c r="G40">
        <f t="shared" si="17"/>
        <v>175</v>
      </c>
      <c r="H40">
        <f t="shared" si="17"/>
        <v>175</v>
      </c>
      <c r="I40" s="91">
        <f t="shared" si="17"/>
        <v>87.5</v>
      </c>
      <c r="J40">
        <f t="shared" si="17"/>
        <v>700</v>
      </c>
      <c r="K40">
        <f t="shared" si="17"/>
        <v>350</v>
      </c>
      <c r="L40">
        <f t="shared" si="17"/>
        <v>350</v>
      </c>
      <c r="M40">
        <f t="shared" si="17"/>
        <v>175</v>
      </c>
      <c r="N40">
        <f t="shared" si="17"/>
        <v>175</v>
      </c>
      <c r="O40">
        <f>O13</f>
        <v>87.5</v>
      </c>
    </row>
    <row r="41" spans="2:18" hidden="1" x14ac:dyDescent="0.2">
      <c r="B41" s="95" t="s">
        <v>216</v>
      </c>
      <c r="C41">
        <v>1.4</v>
      </c>
      <c r="D41">
        <f>(D36+D40)*$C$41</f>
        <v>2660</v>
      </c>
      <c r="E41">
        <f t="shared" ref="E41:O41" si="18">(E36+E40)*$C$41</f>
        <v>2170</v>
      </c>
      <c r="F41">
        <f t="shared" si="18"/>
        <v>2170</v>
      </c>
      <c r="G41">
        <f t="shared" si="18"/>
        <v>1924.9999999999998</v>
      </c>
      <c r="H41">
        <f t="shared" si="18"/>
        <v>1924.9999999999998</v>
      </c>
      <c r="I41" s="91">
        <f t="shared" si="18"/>
        <v>1802.4999999999998</v>
      </c>
      <c r="J41">
        <f t="shared" si="18"/>
        <v>2660</v>
      </c>
      <c r="K41">
        <f t="shared" si="18"/>
        <v>2170</v>
      </c>
      <c r="L41">
        <f t="shared" si="18"/>
        <v>2170</v>
      </c>
      <c r="M41">
        <f t="shared" si="18"/>
        <v>1924.9999999999998</v>
      </c>
      <c r="N41">
        <f t="shared" si="18"/>
        <v>1924.9999999999998</v>
      </c>
      <c r="O41">
        <f t="shared" si="18"/>
        <v>1802.4999999999998</v>
      </c>
    </row>
    <row r="42" spans="2:18" hidden="1" x14ac:dyDescent="0.2">
      <c r="B42" s="95" t="s">
        <v>217</v>
      </c>
      <c r="C42" s="189">
        <f>C37</f>
        <v>645</v>
      </c>
      <c r="D42" s="190">
        <f>D41*$C$42</f>
        <v>1715700</v>
      </c>
      <c r="E42" s="190">
        <f t="shared" ref="E42:O42" si="19">E41*$C$42</f>
        <v>1399650</v>
      </c>
      <c r="F42" s="190">
        <f t="shared" si="19"/>
        <v>1399650</v>
      </c>
      <c r="G42" s="190">
        <f t="shared" si="19"/>
        <v>1241624.9999999998</v>
      </c>
      <c r="H42" s="190">
        <f t="shared" si="19"/>
        <v>1241624.9999999998</v>
      </c>
      <c r="I42" s="191">
        <f t="shared" si="19"/>
        <v>1162612.4999999998</v>
      </c>
      <c r="J42" s="102">
        <f t="shared" si="19"/>
        <v>1715700</v>
      </c>
      <c r="K42" s="102">
        <f t="shared" si="19"/>
        <v>1399650</v>
      </c>
      <c r="L42" s="102">
        <f t="shared" si="19"/>
        <v>1399650</v>
      </c>
      <c r="M42" s="102">
        <f t="shared" si="19"/>
        <v>1241624.9999999998</v>
      </c>
      <c r="N42" s="102">
        <f t="shared" si="19"/>
        <v>1241624.9999999998</v>
      </c>
      <c r="O42" s="102">
        <f t="shared" si="19"/>
        <v>1162612.4999999998</v>
      </c>
    </row>
    <row r="43" spans="2:18" ht="34" hidden="1" x14ac:dyDescent="0.2">
      <c r="B43" s="228" t="s">
        <v>218</v>
      </c>
      <c r="C43">
        <v>1.2</v>
      </c>
      <c r="D43" s="103">
        <f>$C$43*D42</f>
        <v>2058840</v>
      </c>
      <c r="E43" s="103">
        <f t="shared" ref="E43:O43" si="20">$C$43*E42</f>
        <v>1679580</v>
      </c>
      <c r="F43" s="103">
        <f t="shared" si="20"/>
        <v>1679580</v>
      </c>
      <c r="G43" s="103">
        <f t="shared" si="20"/>
        <v>1489949.9999999998</v>
      </c>
      <c r="H43" s="103">
        <f t="shared" si="20"/>
        <v>1489949.9999999998</v>
      </c>
      <c r="I43" s="193">
        <f t="shared" si="20"/>
        <v>1395134.9999999998</v>
      </c>
      <c r="J43" s="103">
        <f t="shared" si="20"/>
        <v>2058840</v>
      </c>
      <c r="K43" s="103">
        <f t="shared" si="20"/>
        <v>1679580</v>
      </c>
      <c r="L43" s="103">
        <f t="shared" si="20"/>
        <v>1679580</v>
      </c>
      <c r="M43" s="103">
        <f t="shared" si="20"/>
        <v>1489949.9999999998</v>
      </c>
      <c r="N43" s="103">
        <f t="shared" si="20"/>
        <v>1489949.9999999998</v>
      </c>
      <c r="O43" s="103">
        <f t="shared" si="20"/>
        <v>1395134.9999999998</v>
      </c>
    </row>
    <row r="44" spans="2:18" hidden="1" x14ac:dyDescent="0.2">
      <c r="B44" s="95" t="s">
        <v>259</v>
      </c>
      <c r="C44" t="s">
        <v>260</v>
      </c>
      <c r="D44" s="103">
        <f>D43-D38</f>
        <v>1284840</v>
      </c>
      <c r="E44" s="103">
        <f t="shared" ref="E44:O44" si="21">E43-E38</f>
        <v>905580</v>
      </c>
      <c r="F44" s="103">
        <f t="shared" si="21"/>
        <v>905580</v>
      </c>
      <c r="G44" s="103">
        <f t="shared" si="21"/>
        <v>715949.99999999977</v>
      </c>
      <c r="H44" s="103">
        <f t="shared" si="21"/>
        <v>715949.99999999977</v>
      </c>
      <c r="I44" s="193">
        <f t="shared" si="21"/>
        <v>621134.99999999977</v>
      </c>
      <c r="J44" s="103">
        <f t="shared" si="21"/>
        <v>1284840</v>
      </c>
      <c r="K44" s="103">
        <f t="shared" si="21"/>
        <v>905580</v>
      </c>
      <c r="L44" s="103">
        <f t="shared" si="21"/>
        <v>905580</v>
      </c>
      <c r="M44" s="103">
        <f t="shared" si="21"/>
        <v>715949.99999999977</v>
      </c>
      <c r="N44" s="103">
        <f t="shared" si="21"/>
        <v>715949.99999999977</v>
      </c>
      <c r="O44" s="103">
        <f t="shared" si="21"/>
        <v>621134.99999999977</v>
      </c>
    </row>
    <row r="45" spans="2:18" x14ac:dyDescent="0.2">
      <c r="B45" s="95"/>
      <c r="C45" t="s">
        <v>261</v>
      </c>
      <c r="D45" s="235">
        <f>D44*$C$2</f>
        <v>32121000</v>
      </c>
      <c r="E45" s="103">
        <f t="shared" ref="E45:N45" si="22">E44*$C$2</f>
        <v>22639500</v>
      </c>
      <c r="F45" s="103">
        <f t="shared" si="22"/>
        <v>22639500</v>
      </c>
      <c r="G45" s="103">
        <f t="shared" si="22"/>
        <v>17898749.999999993</v>
      </c>
      <c r="H45" s="103">
        <f t="shared" si="22"/>
        <v>17898749.999999993</v>
      </c>
      <c r="I45" s="232">
        <f t="shared" si="22"/>
        <v>15528374.999999994</v>
      </c>
      <c r="J45" s="103">
        <f t="shared" si="22"/>
        <v>32121000</v>
      </c>
      <c r="K45" s="103">
        <f t="shared" si="22"/>
        <v>22639500</v>
      </c>
      <c r="L45" s="103">
        <f t="shared" si="22"/>
        <v>22639500</v>
      </c>
      <c r="M45" s="103">
        <f t="shared" si="22"/>
        <v>17898749.999999993</v>
      </c>
      <c r="N45" s="103">
        <f t="shared" si="22"/>
        <v>17898749.999999993</v>
      </c>
      <c r="O45" s="103">
        <f>O44*$C$2</f>
        <v>15528374.999999994</v>
      </c>
      <c r="P45" s="103"/>
      <c r="Q45" s="103"/>
      <c r="R45" s="103"/>
    </row>
    <row r="46" spans="2:18" x14ac:dyDescent="0.2">
      <c r="B46" s="95"/>
      <c r="I46" s="91"/>
    </row>
    <row r="47" spans="2:18" ht="17" thickBot="1" x14ac:dyDescent="0.25">
      <c r="B47" s="96" t="s">
        <v>271</v>
      </c>
      <c r="C47" s="16"/>
      <c r="D47" s="236">
        <f>D33+D45</f>
        <v>110991793.95057444</v>
      </c>
      <c r="E47" s="194">
        <f t="shared" ref="E47:O47" si="23">E33+E45</f>
        <v>80949345.346236438</v>
      </c>
      <c r="F47" s="194">
        <f t="shared" si="23"/>
        <v>62074896.975287221</v>
      </c>
      <c r="G47" s="194">
        <f t="shared" si="23"/>
        <v>47053672.673118211</v>
      </c>
      <c r="H47" s="194">
        <f t="shared" si="23"/>
        <v>37616448.4876436</v>
      </c>
      <c r="I47" s="233">
        <f t="shared" si="23"/>
        <v>30105836.336559102</v>
      </c>
      <c r="J47" s="155">
        <f t="shared" si="23"/>
        <v>189862587.90114889</v>
      </c>
      <c r="K47" s="103">
        <f t="shared" si="23"/>
        <v>139259190.69247288</v>
      </c>
      <c r="L47" s="103">
        <f t="shared" si="23"/>
        <v>101510293.95057444</v>
      </c>
      <c r="M47" s="103">
        <f t="shared" si="23"/>
        <v>76208595.346236438</v>
      </c>
      <c r="N47" s="103">
        <f t="shared" si="23"/>
        <v>57334146.975287214</v>
      </c>
      <c r="O47" s="103">
        <f t="shared" si="23"/>
        <v>44683297.673118211</v>
      </c>
    </row>
  </sheetData>
  <mergeCells count="1">
    <mergeCell ref="F5:G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93EA-33F6-024E-AAD6-0D6F399EEB67}">
  <dimension ref="A1:S24"/>
  <sheetViews>
    <sheetView tabSelected="1" workbookViewId="0">
      <selection activeCell="B24" sqref="B24"/>
    </sheetView>
  </sheetViews>
  <sheetFormatPr baseColWidth="10" defaultColWidth="11" defaultRowHeight="16" x14ac:dyDescent="0.2"/>
  <cols>
    <col min="1" max="1" width="28.6640625" customWidth="1"/>
    <col min="2" max="2" width="30.5" customWidth="1"/>
  </cols>
  <sheetData>
    <row r="1" spans="1:18" ht="17" thickBot="1" x14ac:dyDescent="0.25">
      <c r="C1" t="s">
        <v>304</v>
      </c>
      <c r="K1" t="s">
        <v>305</v>
      </c>
    </row>
    <row r="2" spans="1:18" x14ac:dyDescent="0.2">
      <c r="B2" t="s">
        <v>275</v>
      </c>
      <c r="C2" s="88">
        <v>15</v>
      </c>
      <c r="D2" s="89">
        <v>15</v>
      </c>
      <c r="E2" s="89">
        <v>15</v>
      </c>
      <c r="F2" s="89">
        <v>15</v>
      </c>
      <c r="G2" s="198">
        <v>15</v>
      </c>
      <c r="H2" s="198">
        <v>15</v>
      </c>
      <c r="I2" s="198">
        <v>15</v>
      </c>
      <c r="J2" s="199">
        <v>15</v>
      </c>
      <c r="K2">
        <v>15</v>
      </c>
      <c r="L2">
        <v>15</v>
      </c>
      <c r="M2">
        <v>15</v>
      </c>
      <c r="N2">
        <v>15</v>
      </c>
      <c r="O2" s="159">
        <v>15</v>
      </c>
      <c r="P2" s="159">
        <v>15</v>
      </c>
      <c r="Q2" s="159">
        <v>15</v>
      </c>
      <c r="R2" s="159">
        <v>15</v>
      </c>
    </row>
    <row r="3" spans="1:18" x14ac:dyDescent="0.2">
      <c r="A3" t="s">
        <v>262</v>
      </c>
      <c r="B3" t="s">
        <v>269</v>
      </c>
      <c r="C3" s="176">
        <v>1</v>
      </c>
      <c r="D3" s="200">
        <v>1</v>
      </c>
      <c r="E3" s="200">
        <v>1</v>
      </c>
      <c r="F3" s="200">
        <v>1</v>
      </c>
      <c r="G3" s="201">
        <v>1</v>
      </c>
      <c r="H3" s="201">
        <v>1</v>
      </c>
      <c r="I3" s="201">
        <v>1</v>
      </c>
      <c r="J3" s="202">
        <v>1</v>
      </c>
      <c r="K3">
        <v>1</v>
      </c>
      <c r="L3">
        <v>1</v>
      </c>
      <c r="M3">
        <v>1</v>
      </c>
      <c r="N3">
        <v>1</v>
      </c>
      <c r="O3" s="159">
        <v>1</v>
      </c>
      <c r="P3" s="159">
        <v>1</v>
      </c>
      <c r="Q3" s="159">
        <v>1</v>
      </c>
      <c r="R3" s="159">
        <v>1</v>
      </c>
    </row>
    <row r="4" spans="1:18" x14ac:dyDescent="0.2">
      <c r="A4" t="s">
        <v>281</v>
      </c>
      <c r="B4" t="s">
        <v>282</v>
      </c>
      <c r="C4" s="203">
        <v>700</v>
      </c>
      <c r="D4" s="200">
        <v>350</v>
      </c>
      <c r="E4" s="200">
        <v>175</v>
      </c>
      <c r="F4" s="200">
        <f>350/4</f>
        <v>87.5</v>
      </c>
      <c r="G4" s="204">
        <v>700</v>
      </c>
      <c r="H4" s="201">
        <v>350</v>
      </c>
      <c r="I4" s="201">
        <v>175</v>
      </c>
      <c r="J4" s="202">
        <f>350/4</f>
        <v>87.5</v>
      </c>
      <c r="K4" s="147">
        <v>700</v>
      </c>
      <c r="L4">
        <v>350</v>
      </c>
      <c r="M4">
        <v>175</v>
      </c>
      <c r="N4">
        <f>350/4</f>
        <v>87.5</v>
      </c>
      <c r="O4" s="162">
        <v>700</v>
      </c>
      <c r="P4" s="159">
        <v>350</v>
      </c>
      <c r="Q4" s="159">
        <v>175</v>
      </c>
      <c r="R4" s="159">
        <f>350/4</f>
        <v>87.5</v>
      </c>
    </row>
    <row r="5" spans="1:18" x14ac:dyDescent="0.2">
      <c r="A5" t="s">
        <v>283</v>
      </c>
      <c r="B5" t="s">
        <v>284</v>
      </c>
      <c r="C5" s="176">
        <v>100</v>
      </c>
      <c r="D5" s="200">
        <v>100</v>
      </c>
      <c r="E5" s="200">
        <v>100</v>
      </c>
      <c r="F5" s="200">
        <v>100</v>
      </c>
      <c r="G5" s="201">
        <v>100</v>
      </c>
      <c r="H5" s="201">
        <v>100</v>
      </c>
      <c r="I5" s="201">
        <v>100</v>
      </c>
      <c r="J5" s="202">
        <v>100</v>
      </c>
      <c r="K5">
        <v>100</v>
      </c>
      <c r="L5">
        <v>100</v>
      </c>
      <c r="M5">
        <v>100</v>
      </c>
      <c r="N5">
        <v>100</v>
      </c>
      <c r="O5" s="159">
        <v>100</v>
      </c>
      <c r="P5" s="159">
        <v>100</v>
      </c>
      <c r="Q5" s="159">
        <v>100</v>
      </c>
      <c r="R5" s="159">
        <v>100</v>
      </c>
    </row>
    <row r="6" spans="1:18" x14ac:dyDescent="0.2">
      <c r="B6" t="s">
        <v>270</v>
      </c>
      <c r="C6" s="176">
        <f>C4/C5</f>
        <v>7</v>
      </c>
      <c r="D6" s="200">
        <f t="shared" ref="D6:F6" si="0">D4/D5</f>
        <v>3.5</v>
      </c>
      <c r="E6" s="200">
        <f t="shared" si="0"/>
        <v>1.75</v>
      </c>
      <c r="F6" s="200">
        <f t="shared" si="0"/>
        <v>0.875</v>
      </c>
      <c r="G6" s="201">
        <f t="shared" ref="G6" si="1">G4/G5</f>
        <v>7</v>
      </c>
      <c r="H6" s="201">
        <f t="shared" ref="H6" si="2">H4/H5</f>
        <v>3.5</v>
      </c>
      <c r="I6" s="201">
        <f t="shared" ref="I6" si="3">I4/I5</f>
        <v>1.75</v>
      </c>
      <c r="J6" s="202">
        <f t="shared" ref="J6" si="4">J4/J5</f>
        <v>0.875</v>
      </c>
      <c r="K6">
        <f>K4/K5</f>
        <v>7</v>
      </c>
      <c r="L6">
        <f t="shared" ref="L6:R6" si="5">L4/L5</f>
        <v>3.5</v>
      </c>
      <c r="M6">
        <f t="shared" si="5"/>
        <v>1.75</v>
      </c>
      <c r="N6">
        <f t="shared" si="5"/>
        <v>0.875</v>
      </c>
      <c r="O6" s="159">
        <f t="shared" si="5"/>
        <v>7</v>
      </c>
      <c r="P6" s="159">
        <f t="shared" si="5"/>
        <v>3.5</v>
      </c>
      <c r="Q6" s="159">
        <f t="shared" si="5"/>
        <v>1.75</v>
      </c>
      <c r="R6" s="159">
        <f t="shared" si="5"/>
        <v>0.875</v>
      </c>
    </row>
    <row r="7" spans="1:18" x14ac:dyDescent="0.2">
      <c r="A7" t="s">
        <v>272</v>
      </c>
      <c r="B7" t="s">
        <v>273</v>
      </c>
      <c r="C7" s="176">
        <v>20</v>
      </c>
      <c r="D7" s="200">
        <v>20</v>
      </c>
      <c r="E7" s="200">
        <v>20</v>
      </c>
      <c r="F7" s="200">
        <v>20</v>
      </c>
      <c r="G7" s="201">
        <v>20</v>
      </c>
      <c r="H7" s="201">
        <v>20</v>
      </c>
      <c r="I7" s="201">
        <v>20</v>
      </c>
      <c r="J7" s="202">
        <v>20</v>
      </c>
      <c r="K7">
        <v>0</v>
      </c>
      <c r="L7">
        <v>0</v>
      </c>
      <c r="M7">
        <v>0</v>
      </c>
      <c r="N7">
        <v>0</v>
      </c>
      <c r="O7" s="159">
        <v>0</v>
      </c>
      <c r="P7" s="159">
        <v>0</v>
      </c>
      <c r="Q7" s="159">
        <v>0</v>
      </c>
      <c r="R7" s="159">
        <v>0</v>
      </c>
    </row>
    <row r="8" spans="1:18" x14ac:dyDescent="0.2">
      <c r="B8" t="s">
        <v>264</v>
      </c>
      <c r="C8" s="176">
        <f>'Capex Calculations'!C7</f>
        <v>1</v>
      </c>
      <c r="D8" s="200">
        <v>1</v>
      </c>
      <c r="E8" s="200">
        <v>1</v>
      </c>
      <c r="F8" s="200">
        <v>1</v>
      </c>
      <c r="G8" s="201">
        <v>17</v>
      </c>
      <c r="H8" s="201">
        <v>17</v>
      </c>
      <c r="I8" s="201">
        <v>17</v>
      </c>
      <c r="J8" s="202">
        <v>17</v>
      </c>
      <c r="K8">
        <v>1</v>
      </c>
      <c r="L8">
        <v>1</v>
      </c>
      <c r="M8">
        <v>1</v>
      </c>
      <c r="N8">
        <v>1</v>
      </c>
      <c r="O8" s="159">
        <v>17</v>
      </c>
      <c r="P8" s="159">
        <v>17</v>
      </c>
      <c r="Q8" s="159">
        <v>17</v>
      </c>
      <c r="R8" s="159">
        <v>17</v>
      </c>
    </row>
    <row r="9" spans="1:18" x14ac:dyDescent="0.2">
      <c r="B9" t="s">
        <v>276</v>
      </c>
      <c r="C9" s="176">
        <f>(C7+C6)*C8</f>
        <v>27</v>
      </c>
      <c r="D9" s="200">
        <f t="shared" ref="D9:J9" si="6">(D7+D6)*D8</f>
        <v>23.5</v>
      </c>
      <c r="E9" s="200">
        <f t="shared" si="6"/>
        <v>21.75</v>
      </c>
      <c r="F9" s="200">
        <f t="shared" si="6"/>
        <v>20.875</v>
      </c>
      <c r="G9" s="201">
        <f t="shared" si="6"/>
        <v>459</v>
      </c>
      <c r="H9" s="201">
        <f t="shared" si="6"/>
        <v>399.5</v>
      </c>
      <c r="I9" s="201">
        <f t="shared" si="6"/>
        <v>369.75</v>
      </c>
      <c r="J9" s="202">
        <f t="shared" si="6"/>
        <v>354.875</v>
      </c>
      <c r="K9">
        <v>0</v>
      </c>
      <c r="L9">
        <v>0</v>
      </c>
      <c r="M9">
        <v>0</v>
      </c>
      <c r="N9">
        <v>0</v>
      </c>
      <c r="O9" s="159">
        <v>0</v>
      </c>
      <c r="P9" s="159">
        <v>0</v>
      </c>
      <c r="Q9" s="159">
        <v>0</v>
      </c>
      <c r="R9" s="159">
        <v>0</v>
      </c>
    </row>
    <row r="10" spans="1:18" x14ac:dyDescent="0.2">
      <c r="B10" t="s">
        <v>263</v>
      </c>
      <c r="C10" s="176">
        <v>3</v>
      </c>
      <c r="D10" s="200">
        <v>3</v>
      </c>
      <c r="E10" s="200">
        <v>3</v>
      </c>
      <c r="F10" s="200">
        <v>3</v>
      </c>
      <c r="G10" s="201">
        <v>3</v>
      </c>
      <c r="H10" s="201">
        <v>3</v>
      </c>
      <c r="I10" s="201">
        <v>3</v>
      </c>
      <c r="J10" s="202">
        <v>3</v>
      </c>
      <c r="K10">
        <v>3</v>
      </c>
      <c r="L10">
        <v>3</v>
      </c>
      <c r="M10">
        <v>3</v>
      </c>
      <c r="N10">
        <v>3</v>
      </c>
      <c r="O10" s="159">
        <v>3</v>
      </c>
      <c r="P10" s="159">
        <v>3</v>
      </c>
      <c r="Q10" s="159">
        <v>3</v>
      </c>
      <c r="R10" s="159">
        <v>3</v>
      </c>
    </row>
    <row r="11" spans="1:18" x14ac:dyDescent="0.2">
      <c r="C11" s="176"/>
      <c r="D11" s="200"/>
      <c r="E11" s="200"/>
      <c r="F11" s="200"/>
      <c r="G11" s="201"/>
      <c r="H11" s="201"/>
      <c r="I11" s="201"/>
      <c r="J11" s="202"/>
      <c r="O11" s="159"/>
      <c r="P11" s="159"/>
      <c r="Q11" s="159"/>
      <c r="R11" s="159"/>
    </row>
    <row r="12" spans="1:18" x14ac:dyDescent="0.2">
      <c r="A12" s="22" t="s">
        <v>267</v>
      </c>
      <c r="B12" s="22" t="s">
        <v>266</v>
      </c>
      <c r="C12" s="205">
        <v>33000</v>
      </c>
      <c r="D12" s="206">
        <v>33000</v>
      </c>
      <c r="E12" s="206">
        <v>33000</v>
      </c>
      <c r="F12" s="206">
        <v>33000</v>
      </c>
      <c r="G12" s="206">
        <v>33000</v>
      </c>
      <c r="H12" s="206">
        <v>33000</v>
      </c>
      <c r="I12" s="206">
        <v>33000</v>
      </c>
      <c r="J12" s="207">
        <v>33000</v>
      </c>
      <c r="K12" s="22">
        <v>33000</v>
      </c>
      <c r="L12" s="22">
        <v>33000</v>
      </c>
      <c r="M12" s="22">
        <v>33000</v>
      </c>
      <c r="N12" s="22">
        <v>33000</v>
      </c>
      <c r="O12" s="22">
        <v>33000</v>
      </c>
      <c r="P12" s="22">
        <v>33000</v>
      </c>
      <c r="Q12" s="22">
        <v>33000</v>
      </c>
      <c r="R12" s="22">
        <v>33000</v>
      </c>
    </row>
    <row r="13" spans="1:18" x14ac:dyDescent="0.2">
      <c r="A13" s="22" t="s">
        <v>277</v>
      </c>
      <c r="B13" s="22" t="s">
        <v>278</v>
      </c>
      <c r="C13" s="208">
        <f>C9/(60*24)</f>
        <v>1.8749999999999999E-2</v>
      </c>
      <c r="D13" s="209">
        <f t="shared" ref="D13:J13" si="7">D9/(60*24)</f>
        <v>1.6319444444444445E-2</v>
      </c>
      <c r="E13" s="209">
        <f t="shared" si="7"/>
        <v>1.5104166666666667E-2</v>
      </c>
      <c r="F13" s="209">
        <f t="shared" si="7"/>
        <v>1.4496527777777778E-2</v>
      </c>
      <c r="G13" s="209">
        <f t="shared" si="7"/>
        <v>0.31874999999999998</v>
      </c>
      <c r="H13" s="209">
        <f t="shared" si="7"/>
        <v>0.27743055555555557</v>
      </c>
      <c r="I13" s="209">
        <f t="shared" si="7"/>
        <v>0.25677083333333334</v>
      </c>
      <c r="J13" s="210">
        <f t="shared" si="7"/>
        <v>0.24644097222222222</v>
      </c>
      <c r="K13" s="165">
        <f>K9/(60*24)</f>
        <v>0</v>
      </c>
      <c r="L13" s="165">
        <f t="shared" ref="L13:R13" si="8">L9/(60*24)</f>
        <v>0</v>
      </c>
      <c r="M13" s="165">
        <f t="shared" si="8"/>
        <v>0</v>
      </c>
      <c r="N13" s="165">
        <f t="shared" si="8"/>
        <v>0</v>
      </c>
      <c r="O13" s="165">
        <f t="shared" si="8"/>
        <v>0</v>
      </c>
      <c r="P13" s="165">
        <f t="shared" si="8"/>
        <v>0</v>
      </c>
      <c r="Q13" s="165">
        <f t="shared" si="8"/>
        <v>0</v>
      </c>
      <c r="R13" s="165">
        <f t="shared" si="8"/>
        <v>0</v>
      </c>
    </row>
    <row r="14" spans="1:18" x14ac:dyDescent="0.2">
      <c r="A14" s="22" t="s">
        <v>274</v>
      </c>
      <c r="B14" s="22" t="s">
        <v>266</v>
      </c>
      <c r="C14" s="205">
        <f>C12*C13</f>
        <v>618.75</v>
      </c>
      <c r="D14" s="206">
        <f t="shared" ref="D14:J14" si="9">D12*D13</f>
        <v>538.54166666666674</v>
      </c>
      <c r="E14" s="206">
        <f t="shared" si="9"/>
        <v>498.4375</v>
      </c>
      <c r="F14" s="206">
        <f t="shared" si="9"/>
        <v>478.38541666666669</v>
      </c>
      <c r="G14" s="206">
        <f t="shared" si="9"/>
        <v>10518.75</v>
      </c>
      <c r="H14" s="206">
        <f t="shared" si="9"/>
        <v>9155.2083333333339</v>
      </c>
      <c r="I14" s="206">
        <f t="shared" si="9"/>
        <v>8473.4375</v>
      </c>
      <c r="J14" s="207">
        <f t="shared" si="9"/>
        <v>8132.552083333333</v>
      </c>
      <c r="K14" s="22">
        <f>K12*K13</f>
        <v>0</v>
      </c>
      <c r="L14" s="22">
        <f t="shared" ref="L14:R14" si="10">L12*L13</f>
        <v>0</v>
      </c>
      <c r="M14" s="22">
        <f t="shared" si="10"/>
        <v>0</v>
      </c>
      <c r="N14" s="22">
        <f t="shared" si="10"/>
        <v>0</v>
      </c>
      <c r="O14" s="22">
        <f t="shared" si="10"/>
        <v>0</v>
      </c>
      <c r="P14" s="22">
        <f t="shared" si="10"/>
        <v>0</v>
      </c>
      <c r="Q14" s="22">
        <f t="shared" si="10"/>
        <v>0</v>
      </c>
      <c r="R14" s="22">
        <f t="shared" si="10"/>
        <v>0</v>
      </c>
    </row>
    <row r="15" spans="1:18" x14ac:dyDescent="0.2">
      <c r="A15" s="22" t="s">
        <v>265</v>
      </c>
      <c r="B15" s="22" t="s">
        <v>266</v>
      </c>
      <c r="C15" s="205">
        <f>C3*C6/60*C8*365*C10*'Capex Calculations'!$C$2</f>
        <v>3193.75</v>
      </c>
      <c r="D15" s="206">
        <f>D3*D6/60*D8*365*D10*'Capex Calculations'!$C$2</f>
        <v>1596.875</v>
      </c>
      <c r="E15" s="206">
        <f>E3*E6/60*E8*365*E10*'Capex Calculations'!$C$2</f>
        <v>798.4375</v>
      </c>
      <c r="F15" s="206">
        <f>F3*F6/60*F8*365*F10*'Capex Calculations'!$C$2</f>
        <v>399.21875</v>
      </c>
      <c r="G15" s="206">
        <f>G3*G6/60*G8*365*G10*'Capex Calculations'!$C$2</f>
        <v>54293.75</v>
      </c>
      <c r="H15" s="206">
        <f>H3*H6/60*H8*365*H10*'Capex Calculations'!$C$2</f>
        <v>27146.875</v>
      </c>
      <c r="I15" s="206">
        <f>I3*I6/60*I8*365*I10*'Capex Calculations'!$C$2</f>
        <v>13573.4375</v>
      </c>
      <c r="J15" s="207">
        <f>J3*J6/60*J8*365*J10*'Capex Calculations'!$C$2</f>
        <v>6786.71875</v>
      </c>
      <c r="K15" s="22">
        <f>K3*K6/60*K8*365*K10*'Capex Calculations'!$C$2</f>
        <v>3193.75</v>
      </c>
      <c r="L15" s="22">
        <f>L3*L6/60*L8*365*L10*'Capex Calculations'!$C$2</f>
        <v>1596.875</v>
      </c>
      <c r="M15" s="22">
        <f>M3*M6/60*M8*365*M10*'Capex Calculations'!$C$2</f>
        <v>798.4375</v>
      </c>
      <c r="N15" s="22">
        <f>N3*N6/60*N8*365*N10*'Capex Calculations'!$C$2</f>
        <v>399.21875</v>
      </c>
      <c r="O15" s="22">
        <f>O3*O6/60*O8*365*O10*'Capex Calculations'!$C$2</f>
        <v>54293.75</v>
      </c>
      <c r="P15" s="22">
        <f>P3*P6/60*P8*365*P10*'Capex Calculations'!$C$2</f>
        <v>27146.875</v>
      </c>
      <c r="Q15" s="22">
        <f>Q3*Q6/60*Q8*365*Q10*'Capex Calculations'!$C$2</f>
        <v>13573.4375</v>
      </c>
      <c r="R15" s="22">
        <f>R3*R6/60*R8*365*R10*'Capex Calculations'!$C$2</f>
        <v>6786.71875</v>
      </c>
    </row>
    <row r="16" spans="1:18" x14ac:dyDescent="0.2">
      <c r="A16" t="s">
        <v>268</v>
      </c>
      <c r="B16" t="s">
        <v>266</v>
      </c>
      <c r="C16" s="211">
        <f>C14+C15</f>
        <v>3812.5</v>
      </c>
      <c r="D16" s="212">
        <f t="shared" ref="D16:J16" si="11">D14+D15</f>
        <v>2135.416666666667</v>
      </c>
      <c r="E16" s="212">
        <f t="shared" si="11"/>
        <v>1296.875</v>
      </c>
      <c r="F16" s="212">
        <f t="shared" si="11"/>
        <v>877.60416666666674</v>
      </c>
      <c r="G16" s="213">
        <f t="shared" si="11"/>
        <v>64812.5</v>
      </c>
      <c r="H16" s="213">
        <f t="shared" si="11"/>
        <v>36302.083333333336</v>
      </c>
      <c r="I16" s="213">
        <f t="shared" si="11"/>
        <v>22046.875</v>
      </c>
      <c r="J16" s="214">
        <f t="shared" si="11"/>
        <v>14919.270833333332</v>
      </c>
      <c r="K16" s="158">
        <f>K14+K15</f>
        <v>3193.75</v>
      </c>
      <c r="L16" s="158">
        <f t="shared" ref="L16:R16" si="12">L14+L15</f>
        <v>1596.875</v>
      </c>
      <c r="M16" s="158">
        <f t="shared" si="12"/>
        <v>798.4375</v>
      </c>
      <c r="N16" s="158">
        <f t="shared" si="12"/>
        <v>399.21875</v>
      </c>
      <c r="O16" s="164">
        <f t="shared" si="12"/>
        <v>54293.75</v>
      </c>
      <c r="P16" s="164">
        <f t="shared" si="12"/>
        <v>27146.875</v>
      </c>
      <c r="Q16" s="164">
        <f t="shared" si="12"/>
        <v>13573.4375</v>
      </c>
      <c r="R16" s="164">
        <f t="shared" si="12"/>
        <v>6786.71875</v>
      </c>
    </row>
    <row r="17" spans="1:19" ht="17" thickBot="1" x14ac:dyDescent="0.25">
      <c r="A17" t="s">
        <v>279</v>
      </c>
      <c r="C17" s="215">
        <f>C16/C12</f>
        <v>0.11553030303030302</v>
      </c>
      <c r="D17" s="216">
        <f t="shared" ref="D17:J17" si="13">D16/D12</f>
        <v>6.4709595959595967E-2</v>
      </c>
      <c r="E17" s="216">
        <f t="shared" si="13"/>
        <v>3.9299242424242424E-2</v>
      </c>
      <c r="F17" s="216">
        <f t="shared" si="13"/>
        <v>2.659406565656566E-2</v>
      </c>
      <c r="G17" s="217">
        <f t="shared" si="13"/>
        <v>1.9640151515151516</v>
      </c>
      <c r="H17" s="217">
        <f t="shared" si="13"/>
        <v>1.1000631313131315</v>
      </c>
      <c r="I17" s="217">
        <f t="shared" si="13"/>
        <v>0.66808712121212122</v>
      </c>
      <c r="J17" s="218">
        <f t="shared" si="13"/>
        <v>0.45209911616161613</v>
      </c>
      <c r="K17" s="156">
        <f>K16/K12</f>
        <v>9.6780303030303036E-2</v>
      </c>
      <c r="L17" s="156">
        <f t="shared" ref="L17:R17" si="14">L16/L12</f>
        <v>4.8390151515151518E-2</v>
      </c>
      <c r="M17" s="156">
        <f t="shared" si="14"/>
        <v>2.4195075757575759E-2</v>
      </c>
      <c r="N17" s="156">
        <f t="shared" si="14"/>
        <v>1.2097537878787879E-2</v>
      </c>
      <c r="O17" s="163">
        <f t="shared" si="14"/>
        <v>1.6452651515151515</v>
      </c>
      <c r="P17" s="163">
        <f t="shared" si="14"/>
        <v>0.82263257575757576</v>
      </c>
      <c r="Q17" s="163">
        <f t="shared" si="14"/>
        <v>0.41131628787878788</v>
      </c>
      <c r="R17" s="163">
        <f t="shared" si="14"/>
        <v>0.20565814393939394</v>
      </c>
    </row>
    <row r="19" spans="1:19" x14ac:dyDescent="0.2">
      <c r="A19" s="20" t="s">
        <v>289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</row>
    <row r="20" spans="1:19" x14ac:dyDescent="0.2">
      <c r="A20" s="166" t="s">
        <v>310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 spans="1:19" x14ac:dyDescent="0.2">
      <c r="A21" s="20" t="s">
        <v>285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 spans="1:19" x14ac:dyDescent="0.2">
      <c r="A22" s="20" t="s">
        <v>286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 spans="1:19" x14ac:dyDescent="0.2">
      <c r="A23" s="20" t="s">
        <v>287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 spans="1:19" x14ac:dyDescent="0.2">
      <c r="A24" s="20" t="s">
        <v>288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A1DA-5E42-3643-AFD5-C79ECCE40466}">
  <dimension ref="B1:Q23"/>
  <sheetViews>
    <sheetView workbookViewId="0">
      <selection activeCell="L13" sqref="L13"/>
    </sheetView>
  </sheetViews>
  <sheetFormatPr baseColWidth="10" defaultRowHeight="16" x14ac:dyDescent="0.2"/>
  <cols>
    <col min="3" max="3" width="18.83203125" bestFit="1" customWidth="1"/>
    <col min="4" max="5" width="14.33203125" bestFit="1" customWidth="1"/>
    <col min="6" max="6" width="15.33203125" bestFit="1" customWidth="1"/>
    <col min="7" max="8" width="15.83203125" bestFit="1" customWidth="1"/>
    <col min="13" max="13" width="23.1640625" bestFit="1" customWidth="1"/>
    <col min="14" max="15" width="16" bestFit="1" customWidth="1"/>
    <col min="16" max="16" width="15" bestFit="1" customWidth="1"/>
    <col min="17" max="17" width="15" hidden="1" customWidth="1"/>
  </cols>
  <sheetData>
    <row r="1" spans="2:17" ht="17" thickBot="1" x14ac:dyDescent="0.25">
      <c r="B1" t="s">
        <v>293</v>
      </c>
    </row>
    <row r="2" spans="2:17" x14ac:dyDescent="0.2">
      <c r="M2" s="237" t="s">
        <v>299</v>
      </c>
      <c r="N2" s="93">
        <v>1</v>
      </c>
      <c r="O2" s="93">
        <v>1</v>
      </c>
      <c r="P2" s="94">
        <v>1</v>
      </c>
      <c r="Q2">
        <v>1</v>
      </c>
    </row>
    <row r="3" spans="2:17" ht="17" thickBot="1" x14ac:dyDescent="0.25">
      <c r="M3" s="95" t="s">
        <v>298</v>
      </c>
      <c r="N3" s="3">
        <v>700</v>
      </c>
      <c r="O3" s="3">
        <v>350</v>
      </c>
      <c r="P3" s="173">
        <v>175</v>
      </c>
      <c r="Q3">
        <v>87.5</v>
      </c>
    </row>
    <row r="4" spans="2:17" x14ac:dyDescent="0.2">
      <c r="B4" s="195"/>
      <c r="C4" s="170" t="s">
        <v>91</v>
      </c>
      <c r="D4" s="93"/>
      <c r="E4" s="171"/>
      <c r="F4" s="93"/>
      <c r="G4" s="93"/>
      <c r="H4" s="94"/>
      <c r="M4" s="95" t="s">
        <v>296</v>
      </c>
      <c r="N4" s="73">
        <f>'Capex Calculations'!$D$6</f>
        <v>37500000</v>
      </c>
      <c r="O4" s="73">
        <f>'Capex Calculations'!$D$6</f>
        <v>37500000</v>
      </c>
      <c r="P4" s="178">
        <f>'Capex Calculations'!$D$6</f>
        <v>37500000</v>
      </c>
      <c r="Q4" s="103">
        <f>'Capex Calculations'!$D$6</f>
        <v>37500000</v>
      </c>
    </row>
    <row r="5" spans="2:17" x14ac:dyDescent="0.2">
      <c r="B5" s="196"/>
      <c r="C5" s="26" t="s">
        <v>291</v>
      </c>
      <c r="D5" s="26"/>
      <c r="E5" s="26"/>
      <c r="F5" s="26"/>
      <c r="G5" s="26"/>
      <c r="H5" s="172"/>
      <c r="M5" s="95" t="s">
        <v>302</v>
      </c>
      <c r="N5" s="73">
        <f>'Winch Energy Cost'!C17*'Finance Main'!$AF$4</f>
        <v>7941575.5708467988</v>
      </c>
      <c r="O5" s="73">
        <f>'Winch Energy Cost'!D17*'Finance Main'!$AF$4</f>
        <v>4448150.251430585</v>
      </c>
      <c r="P5" s="178">
        <f>'Winch Energy Cost'!E17*'Finance Main'!$AF$4</f>
        <v>2701437.5917224768</v>
      </c>
      <c r="Q5" s="73">
        <f>'Winch Energy Cost'!F17*'Finance Main'!$AF$4</f>
        <v>1828081.2618684233</v>
      </c>
    </row>
    <row r="6" spans="2:17" x14ac:dyDescent="0.2">
      <c r="B6" s="196"/>
      <c r="C6" s="3">
        <v>1</v>
      </c>
      <c r="D6" s="3">
        <v>5</v>
      </c>
      <c r="E6" s="3">
        <v>10</v>
      </c>
      <c r="F6" s="3">
        <v>20</v>
      </c>
      <c r="G6" s="3">
        <v>40</v>
      </c>
      <c r="H6" s="173">
        <v>90</v>
      </c>
      <c r="M6" s="95" t="s">
        <v>295</v>
      </c>
      <c r="N6" s="73">
        <f>'Capex Calculations'!D33</f>
        <v>78870793.950574443</v>
      </c>
      <c r="O6" s="73">
        <f>'Capex Calculations'!F33</f>
        <v>39435396.975287221</v>
      </c>
      <c r="P6" s="178">
        <f>'Capex Calculations'!H33</f>
        <v>19717698.487643611</v>
      </c>
      <c r="Q6" s="103">
        <f>'Capex Calculations'!I33</f>
        <v>14577461.336559109</v>
      </c>
    </row>
    <row r="7" spans="2:17" x14ac:dyDescent="0.2">
      <c r="B7" s="167" t="s">
        <v>19</v>
      </c>
      <c r="C7" s="174">
        <f>'Finance Main'!U4</f>
        <v>7404348.4557847846</v>
      </c>
      <c r="D7" s="174">
        <f>'Finance Main'!V4</f>
        <v>7420299.6795649137</v>
      </c>
      <c r="E7" s="174">
        <f>'Finance Main'!W4</f>
        <v>7411825.3087669695</v>
      </c>
      <c r="F7" s="220">
        <f>'Finance Main'!X4</f>
        <v>7475114.3560950123</v>
      </c>
      <c r="G7" s="174">
        <f>'Finance Main'!Y4</f>
        <v>7181888.126519192</v>
      </c>
      <c r="H7" s="175">
        <f>'Finance Main'!Z4</f>
        <v>6272443.1544994451</v>
      </c>
      <c r="M7" s="95" t="s">
        <v>294</v>
      </c>
      <c r="N7" s="73">
        <f>'Capex Calculations'!D45</f>
        <v>32121000</v>
      </c>
      <c r="O7" s="73">
        <f>'Capex Calculations'!F45</f>
        <v>22639500</v>
      </c>
      <c r="P7" s="178">
        <f>'Capex Calculations'!G45</f>
        <v>17898749.999999993</v>
      </c>
      <c r="Q7" s="103">
        <f>'Capex Calculations'!I45</f>
        <v>15528374.999999994</v>
      </c>
    </row>
    <row r="8" spans="2:17" ht="17" thickBot="1" x14ac:dyDescent="0.25">
      <c r="B8" s="167" t="s">
        <v>1</v>
      </c>
      <c r="C8" s="174">
        <f>'Finance Main'!U5</f>
        <v>8123381.8524457095</v>
      </c>
      <c r="D8" s="174">
        <f>'Finance Main'!V5</f>
        <v>8154694.7387892269</v>
      </c>
      <c r="E8" s="220">
        <f>'Finance Main'!W5</f>
        <v>8175698.2481186436</v>
      </c>
      <c r="F8" s="174">
        <f>'Finance Main'!X5</f>
        <v>7546269.0696228025</v>
      </c>
      <c r="G8" s="174">
        <f>'Finance Main'!Y5</f>
        <v>6789923.7016539024</v>
      </c>
      <c r="H8" s="175">
        <f>'Finance Main'!Z5</f>
        <v>6315422.1179433847</v>
      </c>
      <c r="M8" s="96" t="s">
        <v>297</v>
      </c>
      <c r="N8" s="180">
        <f>SUM(N4:N7)</f>
        <v>156433369.52142125</v>
      </c>
      <c r="O8" s="180">
        <f t="shared" ref="O8:Q8" si="0">SUM(O4:O7)</f>
        <v>104023047.2267178</v>
      </c>
      <c r="P8" s="181">
        <f t="shared" si="0"/>
        <v>77817886.079366088</v>
      </c>
      <c r="Q8" s="103">
        <f t="shared" si="0"/>
        <v>69433917.598427534</v>
      </c>
    </row>
    <row r="9" spans="2:17" x14ac:dyDescent="0.2">
      <c r="B9" s="167" t="s">
        <v>0</v>
      </c>
      <c r="C9" s="220">
        <f>'Finance Main'!U6</f>
        <v>6779785.8134332895</v>
      </c>
      <c r="D9" s="174">
        <f>'Finance Main'!V6</f>
        <v>5677914.0733927777</v>
      </c>
      <c r="E9" s="174">
        <f>'Finance Main'!W6</f>
        <v>4616289.8689008923</v>
      </c>
      <c r="F9" s="174">
        <f>'Finance Main'!X6</f>
        <v>1070564.208474644</v>
      </c>
      <c r="G9" s="174">
        <f>'Finance Main'!Y6</f>
        <v>452851.83117396291</v>
      </c>
      <c r="H9" s="226">
        <f>'Finance Main'!Z6</f>
        <v>-12587858.27005183</v>
      </c>
    </row>
    <row r="10" spans="2:17" x14ac:dyDescent="0.2">
      <c r="B10" s="167" t="s">
        <v>40</v>
      </c>
      <c r="C10" s="220">
        <f>'Finance Main'!U7</f>
        <v>4924193.6574113062</v>
      </c>
      <c r="D10" s="174">
        <f>'Finance Main'!V7</f>
        <v>4823361.668125934</v>
      </c>
      <c r="E10" s="174">
        <f>'Finance Main'!W7</f>
        <v>4821431.5777001316</v>
      </c>
      <c r="F10" s="174">
        <f>'Finance Main'!X7</f>
        <v>4655649.4495344898</v>
      </c>
      <c r="G10" s="227">
        <f>'Finance Main'!Y7</f>
        <v>-4077463.8799646944</v>
      </c>
      <c r="H10" s="226">
        <f>'Finance Main'!Z7</f>
        <v>-4704928.0599475317</v>
      </c>
    </row>
    <row r="11" spans="2:17" x14ac:dyDescent="0.2">
      <c r="B11" s="167" t="s">
        <v>2</v>
      </c>
      <c r="C11" s="220">
        <f>'Finance Main'!U8</f>
        <v>3875290.0024048649</v>
      </c>
      <c r="D11" s="174">
        <f>'Finance Main'!V8</f>
        <v>3797228.2867237777</v>
      </c>
      <c r="E11" s="174">
        <f>'Finance Main'!W8</f>
        <v>3674238.9278676906</v>
      </c>
      <c r="F11" s="174">
        <f>'Finance Main'!X8</f>
        <v>2980395.4333606814</v>
      </c>
      <c r="G11" s="227">
        <f>'Finance Main'!Y8</f>
        <v>-26602225.498827558</v>
      </c>
      <c r="H11" s="226">
        <f>'Finance Main'!Z8</f>
        <v>-26351142.179405089</v>
      </c>
    </row>
    <row r="12" spans="2:17" ht="17" thickBot="1" x14ac:dyDescent="0.25">
      <c r="B12" s="167" t="s">
        <v>3</v>
      </c>
      <c r="C12" s="220">
        <f>'Finance Main'!U9</f>
        <v>2302051.1739899167</v>
      </c>
      <c r="D12" s="174">
        <f>'Finance Main'!V9</f>
        <v>2024349.8376355851</v>
      </c>
      <c r="E12" s="174">
        <f>'Finance Main'!W9</f>
        <v>2055737.4864138619</v>
      </c>
      <c r="F12" s="227">
        <f>'Finance Main'!X9</f>
        <v>-5364928.1204954386</v>
      </c>
      <c r="G12" s="227">
        <f>'Finance Main'!Y9</f>
        <v>-36482892.966421857</v>
      </c>
      <c r="H12" s="226">
        <f>'Finance Main'!Z9</f>
        <v>-34700852.968314752</v>
      </c>
    </row>
    <row r="13" spans="2:17" ht="17" thickBot="1" x14ac:dyDescent="0.25">
      <c r="B13" s="151"/>
      <c r="C13" s="151"/>
      <c r="D13" s="151"/>
      <c r="E13" s="151"/>
      <c r="F13" s="151"/>
      <c r="G13" s="151"/>
      <c r="H13" s="151"/>
    </row>
    <row r="14" spans="2:17" x14ac:dyDescent="0.2">
      <c r="B14" s="196"/>
      <c r="C14" s="11" t="str">
        <f>'Finance Main'!AA1</f>
        <v>NPV</v>
      </c>
      <c r="D14" s="3"/>
      <c r="E14" s="3"/>
      <c r="F14" s="3"/>
      <c r="G14" s="3"/>
      <c r="H14" s="173"/>
    </row>
    <row r="15" spans="2:17" x14ac:dyDescent="0.2">
      <c r="B15" s="196"/>
      <c r="C15" s="4" t="s">
        <v>290</v>
      </c>
      <c r="D15" s="182">
        <f>'Finance Main'!AB2</f>
        <v>7.4999999999999997E-2</v>
      </c>
      <c r="E15" s="4" t="s">
        <v>292</v>
      </c>
      <c r="F15" s="183">
        <f>'Finance Main'!AD2</f>
        <v>20</v>
      </c>
      <c r="G15" s="3"/>
      <c r="H15" s="173"/>
    </row>
    <row r="16" spans="2:17" x14ac:dyDescent="0.2">
      <c r="B16" s="196"/>
      <c r="C16" s="26" t="s">
        <v>291</v>
      </c>
      <c r="D16" s="177"/>
      <c r="E16" s="3"/>
      <c r="F16" s="3"/>
      <c r="G16" s="3"/>
      <c r="H16" s="173"/>
    </row>
    <row r="17" spans="2:8" x14ac:dyDescent="0.2">
      <c r="B17" s="196"/>
      <c r="C17" s="3">
        <f>'Finance Main'!AA3</f>
        <v>1</v>
      </c>
      <c r="D17" s="3">
        <f>'Finance Main'!AB3</f>
        <v>5</v>
      </c>
      <c r="E17" s="3">
        <f>'Finance Main'!AC3</f>
        <v>10</v>
      </c>
      <c r="F17" s="3">
        <f>'Finance Main'!AD3</f>
        <v>20</v>
      </c>
      <c r="G17" s="3">
        <f>'Finance Main'!AE3</f>
        <v>40</v>
      </c>
      <c r="H17" s="173">
        <f>'Finance Main'!AF3</f>
        <v>90</v>
      </c>
    </row>
    <row r="18" spans="2:8" x14ac:dyDescent="0.2">
      <c r="B18" s="167" t="s">
        <v>19</v>
      </c>
      <c r="C18" s="73">
        <f>'Finance Main'!AA4</f>
        <v>81144833.82941477</v>
      </c>
      <c r="D18" s="73">
        <f>'Finance Main'!AB4</f>
        <v>81319644.538384467</v>
      </c>
      <c r="E18" s="73">
        <f>'Finance Main'!AC4</f>
        <v>81226773.246019676</v>
      </c>
      <c r="F18" s="219">
        <f>'Finance Main'!AD4</f>
        <v>81920362.865595683</v>
      </c>
      <c r="G18" s="73">
        <f>'Finance Main'!AE4</f>
        <v>78706873.682119131</v>
      </c>
      <c r="H18" s="178">
        <f>'Finance Main'!AF4</f>
        <v>68740195.10503459</v>
      </c>
    </row>
    <row r="19" spans="2:8" x14ac:dyDescent="0.2">
      <c r="B19" s="167" t="s">
        <v>1</v>
      </c>
      <c r="C19" s="73">
        <f>'Finance Main'!AA5</f>
        <v>89024777.059837252</v>
      </c>
      <c r="D19" s="73">
        <f>'Finance Main'!AB5</f>
        <v>89367937.43029213</v>
      </c>
      <c r="E19" s="219">
        <f>'Finance Main'!AC5</f>
        <v>89598116.53174144</v>
      </c>
      <c r="F19" s="73">
        <f>'Finance Main'!AD5</f>
        <v>82700152.93623738</v>
      </c>
      <c r="G19" s="73">
        <f>'Finance Main'!AE5</f>
        <v>74411304.894039303</v>
      </c>
      <c r="H19" s="178">
        <f>'Finance Main'!AF5</f>
        <v>69211204.92685008</v>
      </c>
    </row>
    <row r="20" spans="2:8" x14ac:dyDescent="0.2">
      <c r="B20" s="167" t="s">
        <v>0</v>
      </c>
      <c r="C20" s="219">
        <f>'Finance Main'!AA6</f>
        <v>74300202.984133899</v>
      </c>
      <c r="D20" s="73">
        <f>'Finance Main'!AB6</f>
        <v>62224704.406394593</v>
      </c>
      <c r="E20" s="73">
        <f>'Finance Main'!AC6</f>
        <v>50590281.718537971</v>
      </c>
      <c r="F20" s="73">
        <f>'Finance Main'!AD6</f>
        <v>11732396.890711507</v>
      </c>
      <c r="G20" s="73">
        <f>'Finance Main'!AE6</f>
        <v>4962838.6358894901</v>
      </c>
      <c r="H20" s="222">
        <f>'Finance Main'!AF6</f>
        <v>-137951323.29213402</v>
      </c>
    </row>
    <row r="21" spans="2:8" x14ac:dyDescent="0.2">
      <c r="B21" s="167" t="s">
        <v>40</v>
      </c>
      <c r="C21" s="219">
        <f>'Finance Main'!AA7</f>
        <v>53964623.418327227</v>
      </c>
      <c r="D21" s="73">
        <f>'Finance Main'!AB7</f>
        <v>52859597.761564881</v>
      </c>
      <c r="E21" s="73">
        <f>'Finance Main'!AC7</f>
        <v>52838445.74963396</v>
      </c>
      <c r="F21" s="73">
        <f>'Finance Main'!AD7</f>
        <v>51021626.441058896</v>
      </c>
      <c r="G21" s="224">
        <f>'Finance Main'!AE7</f>
        <v>-44685245.563596003</v>
      </c>
      <c r="H21" s="222">
        <f>'Finance Main'!AF7</f>
        <v>-51561674.586711287</v>
      </c>
    </row>
    <row r="22" spans="2:8" x14ac:dyDescent="0.2">
      <c r="B22" s="167" t="s">
        <v>2</v>
      </c>
      <c r="C22" s="219">
        <f>'Finance Main'!AA8</f>
        <v>42469606.227170147</v>
      </c>
      <c r="D22" s="73">
        <f>'Finance Main'!AB8</f>
        <v>41614121.779726021</v>
      </c>
      <c r="E22" s="73">
        <f>'Finance Main'!AC8</f>
        <v>40266271.776885264</v>
      </c>
      <c r="F22" s="73">
        <f>'Finance Main'!AD8</f>
        <v>32662386.654298294</v>
      </c>
      <c r="G22" s="224">
        <f>'Finance Main'!AE8</f>
        <v>-291535869.83180279</v>
      </c>
      <c r="H22" s="222">
        <f>'Finance Main'!AF8</f>
        <v>-288784228.09674144</v>
      </c>
    </row>
    <row r="23" spans="2:8" ht="17" thickBot="1" x14ac:dyDescent="0.25">
      <c r="B23" s="179" t="s">
        <v>3</v>
      </c>
      <c r="C23" s="221">
        <f>'Finance Main'!AA9</f>
        <v>25228358.861782141</v>
      </c>
      <c r="D23" s="180">
        <f>'Finance Main'!AB9</f>
        <v>22185008.197339341</v>
      </c>
      <c r="E23" s="180">
        <f>'Finance Main'!AC9</f>
        <v>22528987.895163998</v>
      </c>
      <c r="F23" s="225">
        <f>'Finance Main'!AD9</f>
        <v>-58794666.869607195</v>
      </c>
      <c r="G23" s="225">
        <f>'Finance Main'!AE9</f>
        <v>-399818877.38734943</v>
      </c>
      <c r="H23" s="223">
        <f>'Finance Main'!AF9</f>
        <v>-380289361.67272937</v>
      </c>
    </row>
  </sheetData>
  <mergeCells count="2">
    <mergeCell ref="B4:B6"/>
    <mergeCell ref="B14:B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885A-8429-D241-BEA9-AEA017C3E947}">
  <dimension ref="B1:I14"/>
  <sheetViews>
    <sheetView workbookViewId="0">
      <selection activeCell="I1" sqref="I1:I1048576"/>
    </sheetView>
  </sheetViews>
  <sheetFormatPr baseColWidth="10" defaultColWidth="11" defaultRowHeight="16" x14ac:dyDescent="0.2"/>
  <cols>
    <col min="2" max="3" width="11.6640625" bestFit="1" customWidth="1"/>
    <col min="4" max="4" width="12.33203125" bestFit="1" customWidth="1"/>
    <col min="5" max="5" width="12" bestFit="1" customWidth="1"/>
    <col min="6" max="6" width="15.1640625" bestFit="1" customWidth="1"/>
    <col min="7" max="7" width="11.5" bestFit="1" customWidth="1"/>
    <col min="8" max="8" width="16.5" bestFit="1" customWidth="1"/>
  </cols>
  <sheetData>
    <row r="1" spans="2:9" ht="17" thickBot="1" x14ac:dyDescent="0.25"/>
    <row r="2" spans="2:9" x14ac:dyDescent="0.2">
      <c r="B2" s="88" t="s">
        <v>24</v>
      </c>
      <c r="C2" s="89" t="s">
        <v>113</v>
      </c>
      <c r="D2" s="89" t="s">
        <v>114</v>
      </c>
      <c r="E2" s="89" t="s">
        <v>115</v>
      </c>
      <c r="F2" s="89" t="s">
        <v>126</v>
      </c>
      <c r="G2" s="89" t="s">
        <v>125</v>
      </c>
      <c r="H2" s="89" t="s">
        <v>116</v>
      </c>
      <c r="I2" s="90" t="s">
        <v>120</v>
      </c>
    </row>
    <row r="3" spans="2:9" ht="47" customHeight="1" x14ac:dyDescent="0.2">
      <c r="B3" s="125" t="s">
        <v>19</v>
      </c>
      <c r="C3" s="137">
        <v>-25</v>
      </c>
      <c r="D3" s="137">
        <v>-70</v>
      </c>
      <c r="E3" t="s">
        <v>19</v>
      </c>
      <c r="F3">
        <v>30</v>
      </c>
      <c r="G3">
        <v>7.9</v>
      </c>
      <c r="H3" s="197" t="s">
        <v>306</v>
      </c>
      <c r="I3" s="91"/>
    </row>
    <row r="4" spans="2:9" ht="47" customHeight="1" x14ac:dyDescent="0.2">
      <c r="B4" s="125" t="s">
        <v>1</v>
      </c>
      <c r="C4" s="137">
        <v>-37.405073999999999</v>
      </c>
      <c r="D4" s="137">
        <v>178.68164100000001</v>
      </c>
      <c r="E4" t="s">
        <v>1</v>
      </c>
      <c r="F4" s="100" t="s">
        <v>117</v>
      </c>
      <c r="G4" s="100">
        <v>9.26</v>
      </c>
      <c r="H4" s="6" t="s">
        <v>123</v>
      </c>
      <c r="I4" s="91"/>
    </row>
    <row r="5" spans="2:9" ht="48" customHeight="1" x14ac:dyDescent="0.2">
      <c r="B5" s="125" t="s">
        <v>0</v>
      </c>
      <c r="C5" s="137">
        <v>55.487020000000001</v>
      </c>
      <c r="D5" s="137">
        <v>7.8387500000000001</v>
      </c>
      <c r="E5" t="s">
        <v>118</v>
      </c>
      <c r="F5">
        <v>240</v>
      </c>
      <c r="G5">
        <v>10.98</v>
      </c>
      <c r="H5" s="6" t="s">
        <v>124</v>
      </c>
      <c r="I5" s="91"/>
    </row>
    <row r="6" spans="2:9" ht="48" customHeight="1" x14ac:dyDescent="0.2">
      <c r="B6" s="125" t="s">
        <v>40</v>
      </c>
      <c r="C6" s="137">
        <v>42.940339000000002</v>
      </c>
      <c r="D6" s="137">
        <v>-67.324218999999999</v>
      </c>
      <c r="E6" t="s">
        <v>119</v>
      </c>
      <c r="F6">
        <v>210</v>
      </c>
      <c r="G6">
        <v>10.23</v>
      </c>
      <c r="H6" s="6" t="s">
        <v>121</v>
      </c>
      <c r="I6" s="91"/>
    </row>
    <row r="7" spans="2:9" ht="49" customHeight="1" x14ac:dyDescent="0.2">
      <c r="B7" s="125" t="s">
        <v>2</v>
      </c>
      <c r="C7" s="137">
        <v>33.870415999999999</v>
      </c>
      <c r="D7" s="137">
        <v>-120.739746</v>
      </c>
      <c r="E7" t="s">
        <v>119</v>
      </c>
      <c r="F7">
        <v>320</v>
      </c>
      <c r="G7">
        <v>8.84</v>
      </c>
      <c r="H7" s="6" t="s">
        <v>303</v>
      </c>
      <c r="I7" s="91"/>
    </row>
    <row r="8" spans="2:9" ht="48" customHeight="1" thickBot="1" x14ac:dyDescent="0.25">
      <c r="B8" s="138" t="s">
        <v>3</v>
      </c>
      <c r="C8" s="139">
        <v>24.67</v>
      </c>
      <c r="D8" s="139">
        <v>120.05</v>
      </c>
      <c r="E8" s="16" t="s">
        <v>3</v>
      </c>
      <c r="F8" s="16">
        <v>30</v>
      </c>
      <c r="G8" s="16">
        <v>10.53</v>
      </c>
      <c r="H8" s="140" t="s">
        <v>122</v>
      </c>
      <c r="I8" s="92"/>
    </row>
    <row r="14" spans="2:9" x14ac:dyDescent="0.2">
      <c r="D14" s="10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7B28-F419-B64E-90A1-7F92CBE08D30}">
  <dimension ref="A1:K51"/>
  <sheetViews>
    <sheetView topLeftCell="G1" workbookViewId="0">
      <selection activeCell="D2" sqref="A1:K51"/>
    </sheetView>
  </sheetViews>
  <sheetFormatPr baseColWidth="10" defaultColWidth="11" defaultRowHeight="16" x14ac:dyDescent="0.2"/>
  <cols>
    <col min="2" max="3" width="11.33203125" bestFit="1" customWidth="1"/>
    <col min="4" max="6" width="11" bestFit="1" customWidth="1"/>
    <col min="7" max="7" width="11.6640625" bestFit="1" customWidth="1"/>
    <col min="8" max="8" width="11" bestFit="1" customWidth="1"/>
    <col min="9" max="9" width="12.33203125" bestFit="1" customWidth="1"/>
    <col min="10" max="10" width="11.33203125" bestFit="1" customWidth="1"/>
    <col min="11" max="11" width="11.6640625" bestFit="1" customWidth="1"/>
  </cols>
  <sheetData>
    <row r="1" spans="1:11" x14ac:dyDescent="0.2">
      <c r="B1" t="s">
        <v>19</v>
      </c>
      <c r="C1" t="s">
        <v>20</v>
      </c>
      <c r="D1" t="s">
        <v>0</v>
      </c>
      <c r="E1" t="s">
        <v>18</v>
      </c>
      <c r="F1" t="s">
        <v>3</v>
      </c>
      <c r="G1" t="s">
        <v>21</v>
      </c>
      <c r="H1" t="s">
        <v>1</v>
      </c>
      <c r="I1" t="s">
        <v>22</v>
      </c>
      <c r="J1" t="s">
        <v>2</v>
      </c>
      <c r="K1" t="s">
        <v>23</v>
      </c>
    </row>
    <row r="2" spans="1:11" x14ac:dyDescent="0.2">
      <c r="A2" t="s">
        <v>17</v>
      </c>
      <c r="B2">
        <v>-8953576.5696230792</v>
      </c>
      <c r="C2">
        <v>-8831068.4888188895</v>
      </c>
      <c r="D2">
        <v>56959.353197439399</v>
      </c>
      <c r="E2">
        <v>6182395.4872582396</v>
      </c>
      <c r="F2">
        <v>9205479.1685399394</v>
      </c>
      <c r="G2">
        <v>13253727.072816901</v>
      </c>
      <c r="H2">
        <v>1949620.6582324901</v>
      </c>
      <c r="I2">
        <v>-15728013.4233541</v>
      </c>
      <c r="J2">
        <v>-3718910.2946090898</v>
      </c>
      <c r="K2">
        <v>15216184.8296236</v>
      </c>
    </row>
    <row r="3" spans="1:11" x14ac:dyDescent="0.2">
      <c r="B3">
        <v>-8955155.2532260008</v>
      </c>
      <c r="C3">
        <v>-8831643.0826596804</v>
      </c>
      <c r="D3">
        <v>56959.353197439399</v>
      </c>
      <c r="E3">
        <v>6180715.4872582396</v>
      </c>
      <c r="F3">
        <v>9204192.2138755005</v>
      </c>
      <c r="G3">
        <v>13254806.956001099</v>
      </c>
      <c r="H3">
        <v>1949620.6582324901</v>
      </c>
      <c r="I3">
        <v>-15726333.4233541</v>
      </c>
      <c r="J3">
        <v>-3720365.2172874501</v>
      </c>
      <c r="K3">
        <v>15215344.8296236</v>
      </c>
    </row>
    <row r="4" spans="1:11" x14ac:dyDescent="0.2">
      <c r="B4">
        <v>-8956733.9368289206</v>
      </c>
      <c r="C4">
        <v>-8832217.6765004694</v>
      </c>
      <c r="D4">
        <v>56959.353197439399</v>
      </c>
      <c r="E4">
        <v>6179035.4872582396</v>
      </c>
      <c r="F4">
        <v>9202905.2592110597</v>
      </c>
      <c r="G4">
        <v>13255886.8391854</v>
      </c>
      <c r="H4">
        <v>1949620.6582324901</v>
      </c>
      <c r="I4">
        <v>-15724653.4233541</v>
      </c>
      <c r="J4">
        <v>-3721820.1399658001</v>
      </c>
      <c r="K4">
        <v>15214504.8296236</v>
      </c>
    </row>
    <row r="5" spans="1:11" x14ac:dyDescent="0.2">
      <c r="B5">
        <v>-8958312.6204318404</v>
      </c>
      <c r="C5">
        <v>-8832792.2703412604</v>
      </c>
      <c r="D5">
        <v>56959.353197439399</v>
      </c>
      <c r="E5">
        <v>6177355.4872582396</v>
      </c>
      <c r="F5">
        <v>9201618.3045466207</v>
      </c>
      <c r="G5">
        <v>13256966.722369701</v>
      </c>
      <c r="H5">
        <v>1949620.6582324901</v>
      </c>
      <c r="I5">
        <v>-15722973.4233541</v>
      </c>
      <c r="J5">
        <v>-3723275.0626441599</v>
      </c>
      <c r="K5">
        <v>15213664.8296236</v>
      </c>
    </row>
    <row r="6" spans="1:11" x14ac:dyDescent="0.2">
      <c r="B6">
        <v>-8959891.3040347602</v>
      </c>
      <c r="C6">
        <v>-8833366.8641820401</v>
      </c>
      <c r="D6">
        <v>56959.353197439399</v>
      </c>
      <c r="E6">
        <v>6175675.4872582396</v>
      </c>
      <c r="F6">
        <v>9200331.3498821799</v>
      </c>
      <c r="G6">
        <v>13258046.605554</v>
      </c>
      <c r="H6">
        <v>1949620.6582324901</v>
      </c>
      <c r="I6">
        <v>-15721293.4233541</v>
      </c>
      <c r="J6">
        <v>-3724729.9853225201</v>
      </c>
      <c r="K6">
        <v>15212824.8296236</v>
      </c>
    </row>
    <row r="7" spans="1:11" x14ac:dyDescent="0.2">
      <c r="B7">
        <v>-8952472.6527182795</v>
      </c>
      <c r="C7">
        <v>-8829288.7903174702</v>
      </c>
      <c r="D7">
        <v>55745.536504991302</v>
      </c>
      <c r="E7">
        <v>6180931.8490610598</v>
      </c>
      <c r="F7">
        <v>9205187.2188799195</v>
      </c>
      <c r="G7">
        <v>13254953.559123</v>
      </c>
      <c r="H7">
        <v>1951585.67148691</v>
      </c>
      <c r="I7">
        <v>-15729010.4080378</v>
      </c>
      <c r="J7">
        <v>-3718933.9539942499</v>
      </c>
      <c r="K7">
        <v>15218421.5088374</v>
      </c>
    </row>
    <row r="8" spans="1:11" x14ac:dyDescent="0.2">
      <c r="B8">
        <v>-8954051.3363211993</v>
      </c>
      <c r="C8">
        <v>-8829863.3841582593</v>
      </c>
      <c r="D8">
        <v>55745.536504991302</v>
      </c>
      <c r="E8">
        <v>6179251.8490610598</v>
      </c>
      <c r="F8">
        <v>9203900.2642154805</v>
      </c>
      <c r="G8">
        <v>13256033.442307301</v>
      </c>
      <c r="H8">
        <v>1951585.67148691</v>
      </c>
      <c r="I8">
        <v>-15727330.4080378</v>
      </c>
      <c r="J8">
        <v>-3720388.8766726102</v>
      </c>
      <c r="K8">
        <v>15217581.5088374</v>
      </c>
    </row>
    <row r="9" spans="1:11" x14ac:dyDescent="0.2">
      <c r="B9">
        <v>-8955630.0199241191</v>
      </c>
      <c r="C9">
        <v>-8830437.9779990502</v>
      </c>
      <c r="D9">
        <v>55745.536504991302</v>
      </c>
      <c r="E9">
        <v>6177571.8490610598</v>
      </c>
      <c r="F9">
        <v>9202613.3095510397</v>
      </c>
      <c r="G9">
        <v>13257113.3254916</v>
      </c>
      <c r="H9">
        <v>1951585.67148691</v>
      </c>
      <c r="I9">
        <v>-15725650.4080378</v>
      </c>
      <c r="J9">
        <v>-3721843.7993509602</v>
      </c>
      <c r="K9">
        <v>15216741.5088374</v>
      </c>
    </row>
    <row r="10" spans="1:11" x14ac:dyDescent="0.2">
      <c r="B10">
        <v>-8957208.7035270408</v>
      </c>
      <c r="C10">
        <v>-8831012.5718398299</v>
      </c>
      <c r="D10">
        <v>55745.536504991302</v>
      </c>
      <c r="E10">
        <v>6175891.8490610598</v>
      </c>
      <c r="F10">
        <v>9201326.3548866007</v>
      </c>
      <c r="G10">
        <v>13258193.2086758</v>
      </c>
      <c r="H10">
        <v>1951585.67148691</v>
      </c>
      <c r="I10">
        <v>-15723970.4080378</v>
      </c>
      <c r="J10">
        <v>-3723298.72202932</v>
      </c>
      <c r="K10">
        <v>15215901.5088374</v>
      </c>
    </row>
    <row r="11" spans="1:11" x14ac:dyDescent="0.2">
      <c r="B11">
        <v>-8958787.3871299606</v>
      </c>
      <c r="C11">
        <v>-8831587.1656806208</v>
      </c>
      <c r="D11">
        <v>55745.536504991302</v>
      </c>
      <c r="E11">
        <v>6174211.8490610598</v>
      </c>
      <c r="F11">
        <v>9200039.4002221599</v>
      </c>
      <c r="G11">
        <v>13259273.091860101</v>
      </c>
      <c r="H11">
        <v>1951585.67148691</v>
      </c>
      <c r="I11">
        <v>-15722290.4080378</v>
      </c>
      <c r="J11">
        <v>-3724753.6447076802</v>
      </c>
      <c r="K11">
        <v>15215061.5088374</v>
      </c>
    </row>
    <row r="12" spans="1:11" x14ac:dyDescent="0.2">
      <c r="B12">
        <v>-8951368.7358134799</v>
      </c>
      <c r="C12">
        <v>-8827509.0918160491</v>
      </c>
      <c r="D12">
        <v>54531.719812543102</v>
      </c>
      <c r="E12">
        <v>6179468.2108638901</v>
      </c>
      <c r="F12">
        <v>9204895.2692198902</v>
      </c>
      <c r="G12">
        <v>13256180.0454292</v>
      </c>
      <c r="H12">
        <v>1953550.6847413301</v>
      </c>
      <c r="I12">
        <v>-15730007.3927215</v>
      </c>
      <c r="J12">
        <v>-3718957.61337941</v>
      </c>
      <c r="K12">
        <v>15220658.1880512</v>
      </c>
    </row>
    <row r="13" spans="1:11" x14ac:dyDescent="0.2">
      <c r="B13">
        <v>-8952947.4194163997</v>
      </c>
      <c r="C13">
        <v>-8828083.6856568307</v>
      </c>
      <c r="D13">
        <v>54531.719812543102</v>
      </c>
      <c r="E13">
        <v>6177788.2108638901</v>
      </c>
      <c r="F13">
        <v>9203608.3145554606</v>
      </c>
      <c r="G13">
        <v>13257259.928613501</v>
      </c>
      <c r="H13">
        <v>1953550.6847413301</v>
      </c>
      <c r="I13">
        <v>-15728327.3927215</v>
      </c>
      <c r="J13">
        <v>-3720412.53605776</v>
      </c>
      <c r="K13">
        <v>15219818.1880512</v>
      </c>
    </row>
    <row r="14" spans="1:11" x14ac:dyDescent="0.2">
      <c r="B14">
        <v>-8954526.1030193195</v>
      </c>
      <c r="C14">
        <v>-8828658.2794976197</v>
      </c>
      <c r="D14">
        <v>54531.719812543102</v>
      </c>
      <c r="E14">
        <v>6176108.2108638901</v>
      </c>
      <c r="F14">
        <v>9202321.3598910104</v>
      </c>
      <c r="G14">
        <v>13258339.811797701</v>
      </c>
      <c r="H14">
        <v>1953550.6847413301</v>
      </c>
      <c r="I14">
        <v>-15726647.3927215</v>
      </c>
      <c r="J14">
        <v>-3721867.4587361198</v>
      </c>
      <c r="K14">
        <v>15218978.1880512</v>
      </c>
    </row>
    <row r="15" spans="1:11" x14ac:dyDescent="0.2">
      <c r="B15">
        <v>-8956104.7866222393</v>
      </c>
      <c r="C15">
        <v>-8829232.8733384106</v>
      </c>
      <c r="D15">
        <v>54531.719812543102</v>
      </c>
      <c r="E15">
        <v>6174428.2108638901</v>
      </c>
      <c r="F15">
        <v>9201034.4052265808</v>
      </c>
      <c r="G15">
        <v>13259419.694982</v>
      </c>
      <c r="H15">
        <v>1953550.6847413301</v>
      </c>
      <c r="I15">
        <v>-15724967.3927215</v>
      </c>
      <c r="J15">
        <v>-3723322.38141448</v>
      </c>
      <c r="K15">
        <v>15218138.1880512</v>
      </c>
    </row>
    <row r="16" spans="1:11" x14ac:dyDescent="0.2">
      <c r="B16">
        <v>-8957683.4702251591</v>
      </c>
      <c r="C16">
        <v>-8829807.4671791904</v>
      </c>
      <c r="D16">
        <v>54531.719812543102</v>
      </c>
      <c r="E16">
        <v>6172748.2108638901</v>
      </c>
      <c r="F16">
        <v>9199747.4505621307</v>
      </c>
      <c r="G16">
        <v>13260499.5781663</v>
      </c>
      <c r="H16">
        <v>1953550.6847413301</v>
      </c>
      <c r="I16">
        <v>-15723287.3927215</v>
      </c>
      <c r="J16">
        <v>-3724777.3040928398</v>
      </c>
      <c r="K16">
        <v>15217298.1880512</v>
      </c>
    </row>
    <row r="17" spans="1:11" x14ac:dyDescent="0.2">
      <c r="B17">
        <v>-8950264.8189086802</v>
      </c>
      <c r="C17">
        <v>-8825729.3933146205</v>
      </c>
      <c r="D17">
        <v>53317.903120094998</v>
      </c>
      <c r="E17">
        <v>6178004.5726667102</v>
      </c>
      <c r="F17">
        <v>9204603.3195598703</v>
      </c>
      <c r="G17">
        <v>13257406.531735299</v>
      </c>
      <c r="H17">
        <v>1955515.69799575</v>
      </c>
      <c r="I17">
        <v>-15731004.3774052</v>
      </c>
      <c r="J17">
        <v>-3718981.2727645701</v>
      </c>
      <c r="K17">
        <v>15222894.8672651</v>
      </c>
    </row>
    <row r="18" spans="1:11" x14ac:dyDescent="0.2">
      <c r="B18">
        <v>-8951843.5025116</v>
      </c>
      <c r="C18">
        <v>-8826303.9871554095</v>
      </c>
      <c r="D18">
        <v>53317.903120094998</v>
      </c>
      <c r="E18">
        <v>6176324.5726667102</v>
      </c>
      <c r="F18">
        <v>9203316.3648954295</v>
      </c>
      <c r="G18">
        <v>13258486.4149196</v>
      </c>
      <c r="H18">
        <v>1955515.69799575</v>
      </c>
      <c r="I18">
        <v>-15729324.3774052</v>
      </c>
      <c r="J18">
        <v>-3720436.1954429201</v>
      </c>
      <c r="K18">
        <v>15222054.8672651</v>
      </c>
    </row>
    <row r="19" spans="1:11" x14ac:dyDescent="0.2">
      <c r="B19">
        <v>-8953422.1861145198</v>
      </c>
      <c r="C19">
        <v>-8826878.5809962004</v>
      </c>
      <c r="D19">
        <v>53317.903120094998</v>
      </c>
      <c r="E19">
        <v>6174644.5726667102</v>
      </c>
      <c r="F19">
        <v>9202029.4102309905</v>
      </c>
      <c r="G19">
        <v>13259566.298103901</v>
      </c>
      <c r="H19">
        <v>1955515.69799575</v>
      </c>
      <c r="I19">
        <v>-15727644.3774052</v>
      </c>
      <c r="J19">
        <v>-3721891.1181212799</v>
      </c>
      <c r="K19">
        <v>15221214.8672651</v>
      </c>
    </row>
    <row r="20" spans="1:11" x14ac:dyDescent="0.2">
      <c r="B20">
        <v>-8955000.8697174396</v>
      </c>
      <c r="C20">
        <v>-8827453.1748369802</v>
      </c>
      <c r="D20">
        <v>53317.903120094998</v>
      </c>
      <c r="E20">
        <v>6172964.5726667102</v>
      </c>
      <c r="F20">
        <v>9200742.4555665497</v>
      </c>
      <c r="G20">
        <v>13260646.181288199</v>
      </c>
      <c r="H20">
        <v>1955515.69799575</v>
      </c>
      <c r="I20">
        <v>-15725964.3774052</v>
      </c>
      <c r="J20">
        <v>-3723346.0407996401</v>
      </c>
      <c r="K20">
        <v>15220374.8672651</v>
      </c>
    </row>
    <row r="21" spans="1:11" x14ac:dyDescent="0.2">
      <c r="B21">
        <v>-8956579.5533203594</v>
      </c>
      <c r="C21">
        <v>-8828027.7686777692</v>
      </c>
      <c r="D21">
        <v>53317.903120094998</v>
      </c>
      <c r="E21">
        <v>6171284.5726667102</v>
      </c>
      <c r="F21">
        <v>9199455.5009021107</v>
      </c>
      <c r="G21">
        <v>13261726.0644724</v>
      </c>
      <c r="H21">
        <v>1955515.69799575</v>
      </c>
      <c r="I21">
        <v>-15724284.3774052</v>
      </c>
      <c r="J21">
        <v>-3724800.9634779999</v>
      </c>
      <c r="K21">
        <v>15219534.8672651</v>
      </c>
    </row>
    <row r="22" spans="1:11" x14ac:dyDescent="0.2">
      <c r="B22">
        <v>-8949160.9020038806</v>
      </c>
      <c r="C22">
        <v>-8823949.6948131993</v>
      </c>
      <c r="D22">
        <v>52104.0864276469</v>
      </c>
      <c r="E22">
        <v>6176540.9344695397</v>
      </c>
      <c r="F22">
        <v>9204311.3698998503</v>
      </c>
      <c r="G22">
        <v>13258633.018041501</v>
      </c>
      <c r="H22">
        <v>1957480.7112501699</v>
      </c>
      <c r="I22">
        <v>-15732001.362089001</v>
      </c>
      <c r="J22">
        <v>-3719004.9321497302</v>
      </c>
      <c r="K22">
        <v>15225131.546478899</v>
      </c>
    </row>
    <row r="23" spans="1:11" x14ac:dyDescent="0.2">
      <c r="B23">
        <v>-8950739.5856068004</v>
      </c>
      <c r="C23">
        <v>-8824524.2886539903</v>
      </c>
      <c r="D23">
        <v>52104.0864276469</v>
      </c>
      <c r="E23">
        <v>6174860.9344695397</v>
      </c>
      <c r="F23">
        <v>9203024.4152354095</v>
      </c>
      <c r="G23">
        <v>13259712.9012258</v>
      </c>
      <c r="H23">
        <v>1957480.7112501699</v>
      </c>
      <c r="I23">
        <v>-15730321.362089001</v>
      </c>
      <c r="J23">
        <v>-3720459.8548280802</v>
      </c>
      <c r="K23">
        <v>15224291.546478899</v>
      </c>
    </row>
    <row r="24" spans="1:11" x14ac:dyDescent="0.2">
      <c r="B24">
        <v>-8952318.2692097202</v>
      </c>
      <c r="C24">
        <v>-8825098.88249477</v>
      </c>
      <c r="D24">
        <v>52104.0864276469</v>
      </c>
      <c r="E24">
        <v>6173180.9344695397</v>
      </c>
      <c r="F24">
        <v>9201737.4605709706</v>
      </c>
      <c r="G24">
        <v>13260792.7844101</v>
      </c>
      <c r="H24">
        <v>1957480.7112501699</v>
      </c>
      <c r="I24">
        <v>-15728641.362089001</v>
      </c>
      <c r="J24">
        <v>-3721914.7775064399</v>
      </c>
      <c r="K24">
        <v>15223451.546478899</v>
      </c>
    </row>
    <row r="25" spans="1:11" x14ac:dyDescent="0.2">
      <c r="B25">
        <v>-8953896.95281264</v>
      </c>
      <c r="C25">
        <v>-8825673.4763355609</v>
      </c>
      <c r="D25">
        <v>52104.0864276469</v>
      </c>
      <c r="E25">
        <v>6171500.9344695397</v>
      </c>
      <c r="F25">
        <v>9200450.5059065297</v>
      </c>
      <c r="G25">
        <v>13261872.667594301</v>
      </c>
      <c r="H25">
        <v>1957480.7112501699</v>
      </c>
      <c r="I25">
        <v>-15726961.362089001</v>
      </c>
      <c r="J25">
        <v>-3723369.7001848002</v>
      </c>
      <c r="K25">
        <v>15222611.546478899</v>
      </c>
    </row>
    <row r="26" spans="1:11" x14ac:dyDescent="0.2">
      <c r="B26">
        <v>-8955475.6364155598</v>
      </c>
      <c r="C26">
        <v>-8826248.0701763406</v>
      </c>
      <c r="D26">
        <v>52104.0864276469</v>
      </c>
      <c r="E26">
        <v>6169820.9344695397</v>
      </c>
      <c r="F26">
        <v>9199163.5512420908</v>
      </c>
      <c r="G26">
        <v>13262952.550778599</v>
      </c>
      <c r="H26">
        <v>1957480.7112501699</v>
      </c>
      <c r="I26">
        <v>-15725281.362089001</v>
      </c>
      <c r="J26">
        <v>-3724824.62286316</v>
      </c>
      <c r="K26">
        <v>15221771.546478899</v>
      </c>
    </row>
    <row r="27" spans="1:11" x14ac:dyDescent="0.2">
      <c r="A27" t="s">
        <v>16</v>
      </c>
      <c r="B27">
        <v>-8953576.5696230792</v>
      </c>
      <c r="C27">
        <v>-8831068.4888188895</v>
      </c>
      <c r="D27">
        <v>56959.353197439399</v>
      </c>
      <c r="E27">
        <v>6182395.4872582396</v>
      </c>
      <c r="F27">
        <v>9205479.1685399394</v>
      </c>
      <c r="G27">
        <v>13253727.072816901</v>
      </c>
      <c r="H27">
        <v>1949620.6582324901</v>
      </c>
      <c r="I27">
        <v>-15728013.4233541</v>
      </c>
      <c r="J27">
        <v>-3718910.2946090898</v>
      </c>
      <c r="K27">
        <v>15216184.8296236</v>
      </c>
    </row>
    <row r="28" spans="1:11" x14ac:dyDescent="0.2">
      <c r="B28">
        <v>-8955155.2532260008</v>
      </c>
      <c r="C28">
        <v>-8831643.0826596804</v>
      </c>
      <c r="D28">
        <v>56959.353197439399</v>
      </c>
      <c r="E28">
        <v>6180715.4872582396</v>
      </c>
      <c r="F28">
        <v>9204192.2138755005</v>
      </c>
      <c r="G28">
        <v>13254806.956001099</v>
      </c>
      <c r="H28">
        <v>1949620.6582324901</v>
      </c>
      <c r="I28">
        <v>-15726333.4233541</v>
      </c>
      <c r="J28">
        <v>-3720365.2172874501</v>
      </c>
      <c r="K28">
        <v>15215344.8296236</v>
      </c>
    </row>
    <row r="29" spans="1:11" x14ac:dyDescent="0.2">
      <c r="B29">
        <v>-8956733.9368289206</v>
      </c>
      <c r="C29">
        <v>-8832217.6765004694</v>
      </c>
      <c r="D29">
        <v>56959.353197439399</v>
      </c>
      <c r="E29">
        <v>6179035.4872582396</v>
      </c>
      <c r="F29">
        <v>9202905.2592110597</v>
      </c>
      <c r="G29">
        <v>13255886.8391854</v>
      </c>
      <c r="H29">
        <v>1949620.6582324901</v>
      </c>
      <c r="I29">
        <v>-15724653.4233541</v>
      </c>
      <c r="J29">
        <v>-3721820.1399658001</v>
      </c>
      <c r="K29">
        <v>15214504.8296236</v>
      </c>
    </row>
    <row r="30" spans="1:11" x14ac:dyDescent="0.2">
      <c r="B30">
        <v>-8958312.6204318404</v>
      </c>
      <c r="C30">
        <v>-8832792.2703412604</v>
      </c>
      <c r="D30">
        <v>56959.353197439399</v>
      </c>
      <c r="E30">
        <v>6177355.4872582396</v>
      </c>
      <c r="F30">
        <v>9201618.3045466207</v>
      </c>
      <c r="G30">
        <v>13256966.722369701</v>
      </c>
      <c r="H30">
        <v>1949620.6582324901</v>
      </c>
      <c r="I30">
        <v>-15722973.4233541</v>
      </c>
      <c r="J30">
        <v>-3723275.0626441599</v>
      </c>
      <c r="K30">
        <v>15213664.8296236</v>
      </c>
    </row>
    <row r="31" spans="1:11" x14ac:dyDescent="0.2">
      <c r="B31">
        <v>-8959891.3040347602</v>
      </c>
      <c r="C31">
        <v>-8833366.8641820401</v>
      </c>
      <c r="D31">
        <v>56959.353197439399</v>
      </c>
      <c r="E31">
        <v>6175675.4872582396</v>
      </c>
      <c r="F31">
        <v>9200331.3498821799</v>
      </c>
      <c r="G31">
        <v>13258046.605554</v>
      </c>
      <c r="H31">
        <v>1949620.6582324901</v>
      </c>
      <c r="I31">
        <v>-15721293.4233541</v>
      </c>
      <c r="J31">
        <v>-3724729.9853225201</v>
      </c>
      <c r="K31">
        <v>15212824.8296236</v>
      </c>
    </row>
    <row r="32" spans="1:11" x14ac:dyDescent="0.2">
      <c r="B32">
        <v>-8952673.9524534997</v>
      </c>
      <c r="C32">
        <v>-8828959.7995921802</v>
      </c>
      <c r="D32">
        <v>55170.782495661297</v>
      </c>
      <c r="E32">
        <v>6181725.4386984697</v>
      </c>
      <c r="F32">
        <v>9204815.03633935</v>
      </c>
      <c r="G32">
        <v>13255186.2677407</v>
      </c>
      <c r="H32">
        <v>1951274.9307700801</v>
      </c>
      <c r="I32">
        <v>-15729454.1917732</v>
      </c>
      <c r="J32">
        <v>-3718126.2355124499</v>
      </c>
      <c r="K32">
        <v>15218086.940887701</v>
      </c>
    </row>
    <row r="33" spans="2:11" x14ac:dyDescent="0.2">
      <c r="B33">
        <v>-8954252.6360564195</v>
      </c>
      <c r="C33">
        <v>-8829534.3934329692</v>
      </c>
      <c r="D33">
        <v>55170.782495661297</v>
      </c>
      <c r="E33">
        <v>6180045.4386984697</v>
      </c>
      <c r="F33">
        <v>9203528.0816748999</v>
      </c>
      <c r="G33">
        <v>13256266.150924999</v>
      </c>
      <c r="H33">
        <v>1951274.9307700801</v>
      </c>
      <c r="I33">
        <v>-15727774.1917732</v>
      </c>
      <c r="J33">
        <v>-3719581.1581907999</v>
      </c>
      <c r="K33">
        <v>15217246.940887701</v>
      </c>
    </row>
    <row r="34" spans="2:11" x14ac:dyDescent="0.2">
      <c r="B34">
        <v>-8955831.3196593393</v>
      </c>
      <c r="C34">
        <v>-8830108.9872737601</v>
      </c>
      <c r="D34">
        <v>55170.782495661297</v>
      </c>
      <c r="E34">
        <v>6178365.4386984697</v>
      </c>
      <c r="F34">
        <v>9202241.1270104703</v>
      </c>
      <c r="G34">
        <v>13257346.0341093</v>
      </c>
      <c r="H34">
        <v>1951274.9307700801</v>
      </c>
      <c r="I34">
        <v>-15726094.1917732</v>
      </c>
      <c r="J34">
        <v>-3721036.0808691601</v>
      </c>
      <c r="K34">
        <v>15216406.940887701</v>
      </c>
    </row>
    <row r="35" spans="2:11" x14ac:dyDescent="0.2">
      <c r="B35">
        <v>-8957410.0032622609</v>
      </c>
      <c r="C35">
        <v>-8830683.5811145399</v>
      </c>
      <c r="D35">
        <v>55170.782495661297</v>
      </c>
      <c r="E35">
        <v>6176685.4386984697</v>
      </c>
      <c r="F35">
        <v>9200954.1723460201</v>
      </c>
      <c r="G35">
        <v>13258425.917293601</v>
      </c>
      <c r="H35">
        <v>1951274.9307700801</v>
      </c>
      <c r="I35">
        <v>-15724414.1917732</v>
      </c>
      <c r="J35">
        <v>-3722491.0035475199</v>
      </c>
      <c r="K35">
        <v>15215566.940887701</v>
      </c>
    </row>
    <row r="36" spans="2:11" x14ac:dyDescent="0.2">
      <c r="B36">
        <v>-8958988.6868651807</v>
      </c>
      <c r="C36">
        <v>-8831258.1749553308</v>
      </c>
      <c r="D36">
        <v>55170.782495661297</v>
      </c>
      <c r="E36">
        <v>6175005.4386984697</v>
      </c>
      <c r="F36">
        <v>9199667.2176815905</v>
      </c>
      <c r="G36">
        <v>13259505.800477801</v>
      </c>
      <c r="H36">
        <v>1951274.9307700801</v>
      </c>
      <c r="I36">
        <v>-15722734.1917732</v>
      </c>
      <c r="J36">
        <v>-3723945.9262258802</v>
      </c>
      <c r="K36">
        <v>15214726.940887701</v>
      </c>
    </row>
    <row r="37" spans="2:11" x14ac:dyDescent="0.2">
      <c r="B37">
        <v>-8951771.3352839202</v>
      </c>
      <c r="C37">
        <v>-8826851.1103654709</v>
      </c>
      <c r="D37">
        <v>53382.211793883202</v>
      </c>
      <c r="E37">
        <v>6181055.3901387099</v>
      </c>
      <c r="F37">
        <v>9204150.9041387495</v>
      </c>
      <c r="G37">
        <v>13256645.4626646</v>
      </c>
      <c r="H37">
        <v>1952929.2033076701</v>
      </c>
      <c r="I37">
        <v>-15730894.9601922</v>
      </c>
      <c r="J37">
        <v>-3717342.1764158001</v>
      </c>
      <c r="K37">
        <v>15219989.052151799</v>
      </c>
    </row>
    <row r="38" spans="2:11" x14ac:dyDescent="0.2">
      <c r="B38">
        <v>-8953350.01888684</v>
      </c>
      <c r="C38">
        <v>-8827425.7042062599</v>
      </c>
      <c r="D38">
        <v>53382.211793883202</v>
      </c>
      <c r="E38">
        <v>6179375.3901387099</v>
      </c>
      <c r="F38">
        <v>9202863.9494743105</v>
      </c>
      <c r="G38">
        <v>13257725.345848899</v>
      </c>
      <c r="H38">
        <v>1952929.2033076701</v>
      </c>
      <c r="I38">
        <v>-15729214.9601922</v>
      </c>
      <c r="J38">
        <v>-3718797.0990941599</v>
      </c>
      <c r="K38">
        <v>15219149.052151799</v>
      </c>
    </row>
    <row r="39" spans="2:11" x14ac:dyDescent="0.2">
      <c r="B39">
        <v>-8954928.7024897598</v>
      </c>
      <c r="C39">
        <v>-8828000.2980470508</v>
      </c>
      <c r="D39">
        <v>53382.211793883202</v>
      </c>
      <c r="E39">
        <v>6177695.3901387099</v>
      </c>
      <c r="F39">
        <v>9201576.9948098697</v>
      </c>
      <c r="G39">
        <v>13258805.2290332</v>
      </c>
      <c r="H39">
        <v>1952929.2033076701</v>
      </c>
      <c r="I39">
        <v>-15727534.9601922</v>
      </c>
      <c r="J39">
        <v>-3720252.0217725202</v>
      </c>
      <c r="K39">
        <v>15218309.052151799</v>
      </c>
    </row>
    <row r="40" spans="2:11" x14ac:dyDescent="0.2">
      <c r="B40">
        <v>-8956507.3860926908</v>
      </c>
      <c r="C40">
        <v>-8828574.8918878306</v>
      </c>
      <c r="D40">
        <v>53382.211793883202</v>
      </c>
      <c r="E40">
        <v>6176015.3901387099</v>
      </c>
      <c r="F40">
        <v>9200290.0401454307</v>
      </c>
      <c r="G40">
        <v>13259885.1122174</v>
      </c>
      <c r="H40">
        <v>1952929.2033076701</v>
      </c>
      <c r="I40">
        <v>-15725854.9601922</v>
      </c>
      <c r="J40">
        <v>-3721706.9444508799</v>
      </c>
      <c r="K40">
        <v>15217469.052151799</v>
      </c>
    </row>
    <row r="41" spans="2:11" x14ac:dyDescent="0.2">
      <c r="B41">
        <v>-8958086.0696956106</v>
      </c>
      <c r="C41">
        <v>-8829149.4857286196</v>
      </c>
      <c r="D41">
        <v>53382.211793883202</v>
      </c>
      <c r="E41">
        <v>6174335.3901387099</v>
      </c>
      <c r="F41">
        <v>9199003.0854809899</v>
      </c>
      <c r="G41">
        <v>13260964.995401699</v>
      </c>
      <c r="H41">
        <v>1952929.2033076701</v>
      </c>
      <c r="I41">
        <v>-15724174.9601922</v>
      </c>
      <c r="J41">
        <v>-3723161.8671292299</v>
      </c>
      <c r="K41">
        <v>15216629.052151799</v>
      </c>
    </row>
    <row r="42" spans="2:11" x14ac:dyDescent="0.2">
      <c r="B42">
        <v>-8950868.71811435</v>
      </c>
      <c r="C42">
        <v>-8824742.4211387597</v>
      </c>
      <c r="D42">
        <v>51593.641092105099</v>
      </c>
      <c r="E42">
        <v>6180385.3415789502</v>
      </c>
      <c r="F42">
        <v>9203486.7719381507</v>
      </c>
      <c r="G42">
        <v>13258104.657588501</v>
      </c>
      <c r="H42">
        <v>1954583.4758452601</v>
      </c>
      <c r="I42">
        <v>-15732335.7286113</v>
      </c>
      <c r="J42">
        <v>-3716558.1173191601</v>
      </c>
      <c r="K42">
        <v>15221891.163415801</v>
      </c>
    </row>
    <row r="43" spans="2:11" x14ac:dyDescent="0.2">
      <c r="B43">
        <v>-8952447.4017172698</v>
      </c>
      <c r="C43">
        <v>-8825317.0149795506</v>
      </c>
      <c r="D43">
        <v>51593.641092105099</v>
      </c>
      <c r="E43">
        <v>6178705.3415789502</v>
      </c>
      <c r="F43">
        <v>9202199.8172737099</v>
      </c>
      <c r="G43">
        <v>13259184.540772799</v>
      </c>
      <c r="H43">
        <v>1954583.4758452601</v>
      </c>
      <c r="I43">
        <v>-15730655.7286113</v>
      </c>
      <c r="J43">
        <v>-3718013.0399975199</v>
      </c>
      <c r="K43">
        <v>15221051.163415801</v>
      </c>
    </row>
    <row r="44" spans="2:11" x14ac:dyDescent="0.2">
      <c r="B44">
        <v>-8954026.0853201896</v>
      </c>
      <c r="C44">
        <v>-8825891.6088203304</v>
      </c>
      <c r="D44">
        <v>51593.641092105099</v>
      </c>
      <c r="E44">
        <v>6177025.3415789502</v>
      </c>
      <c r="F44">
        <v>9200912.8626092691</v>
      </c>
      <c r="G44">
        <v>13260264.4239571</v>
      </c>
      <c r="H44">
        <v>1954583.4758452601</v>
      </c>
      <c r="I44">
        <v>-15728975.7286113</v>
      </c>
      <c r="J44">
        <v>-3719467.9626758802</v>
      </c>
      <c r="K44">
        <v>15220211.163415801</v>
      </c>
    </row>
    <row r="45" spans="2:11" x14ac:dyDescent="0.2">
      <c r="B45">
        <v>-8955604.7689231094</v>
      </c>
      <c r="C45">
        <v>-8826466.2026611194</v>
      </c>
      <c r="D45">
        <v>51593.641092105099</v>
      </c>
      <c r="E45">
        <v>6175345.3415789502</v>
      </c>
      <c r="F45">
        <v>9199625.9079448301</v>
      </c>
      <c r="G45">
        <v>13261344.3071413</v>
      </c>
      <c r="H45">
        <v>1954583.4758452601</v>
      </c>
      <c r="I45">
        <v>-15727295.7286113</v>
      </c>
      <c r="J45">
        <v>-3720922.8853542302</v>
      </c>
      <c r="K45">
        <v>15219371.163415801</v>
      </c>
    </row>
    <row r="46" spans="2:11" x14ac:dyDescent="0.2">
      <c r="B46">
        <v>-8957183.4525260292</v>
      </c>
      <c r="C46">
        <v>-8827040.7965019103</v>
      </c>
      <c r="D46">
        <v>51593.641092105099</v>
      </c>
      <c r="E46">
        <v>6173665.3415789502</v>
      </c>
      <c r="F46">
        <v>9198338.9532803893</v>
      </c>
      <c r="G46">
        <v>13262424.190325599</v>
      </c>
      <c r="H46">
        <v>1954583.4758452601</v>
      </c>
      <c r="I46">
        <v>-15725615.7286113</v>
      </c>
      <c r="J46">
        <v>-3722377.80803259</v>
      </c>
      <c r="K46">
        <v>15218531.163415801</v>
      </c>
    </row>
    <row r="47" spans="2:11" x14ac:dyDescent="0.2">
      <c r="B47">
        <v>-8949966.1009447705</v>
      </c>
      <c r="C47">
        <v>-8822633.7319120504</v>
      </c>
      <c r="D47">
        <v>49805.070390326997</v>
      </c>
      <c r="E47">
        <v>6179715.2930191802</v>
      </c>
      <c r="F47">
        <v>9202822.6397375595</v>
      </c>
      <c r="G47">
        <v>13259563.852512401</v>
      </c>
      <c r="H47">
        <v>1956237.7483828501</v>
      </c>
      <c r="I47">
        <v>-15733776.4970304</v>
      </c>
      <c r="J47">
        <v>-3715774.0582225202</v>
      </c>
      <c r="K47">
        <v>15223793.274679899</v>
      </c>
    </row>
    <row r="48" spans="2:11" x14ac:dyDescent="0.2">
      <c r="B48">
        <v>-8951544.7845476903</v>
      </c>
      <c r="C48">
        <v>-8823208.3257528394</v>
      </c>
      <c r="D48">
        <v>49805.070390326997</v>
      </c>
      <c r="E48">
        <v>6178035.2930191802</v>
      </c>
      <c r="F48">
        <v>9201535.6850731205</v>
      </c>
      <c r="G48">
        <v>13260643.735696699</v>
      </c>
      <c r="H48">
        <v>1956237.7483828501</v>
      </c>
      <c r="I48">
        <v>-15732096.4970304</v>
      </c>
      <c r="J48">
        <v>-3717228.9809008799</v>
      </c>
      <c r="K48">
        <v>15222953.274679899</v>
      </c>
    </row>
    <row r="49" spans="2:11" x14ac:dyDescent="0.2">
      <c r="B49">
        <v>-8953123.4681506101</v>
      </c>
      <c r="C49">
        <v>-8823782.9195936304</v>
      </c>
      <c r="D49">
        <v>49805.070390326997</v>
      </c>
      <c r="E49">
        <v>6176355.2930191802</v>
      </c>
      <c r="F49">
        <v>9200248.7304086797</v>
      </c>
      <c r="G49">
        <v>13261723.6188809</v>
      </c>
      <c r="H49">
        <v>1956237.7483828501</v>
      </c>
      <c r="I49">
        <v>-15730416.4970304</v>
      </c>
      <c r="J49">
        <v>-3718683.90357923</v>
      </c>
      <c r="K49">
        <v>15222113.274679899</v>
      </c>
    </row>
    <row r="50" spans="2:11" x14ac:dyDescent="0.2">
      <c r="B50">
        <v>-8954702.1517535299</v>
      </c>
      <c r="C50">
        <v>-8824357.5134344101</v>
      </c>
      <c r="D50">
        <v>49805.070390326997</v>
      </c>
      <c r="E50">
        <v>6174675.2930191802</v>
      </c>
      <c r="F50">
        <v>9198961.7757442407</v>
      </c>
      <c r="G50">
        <v>13262803.5020652</v>
      </c>
      <c r="H50">
        <v>1956237.7483828501</v>
      </c>
      <c r="I50">
        <v>-15728736.4970304</v>
      </c>
      <c r="J50">
        <v>-3720138.8262575902</v>
      </c>
      <c r="K50">
        <v>15221273.274679899</v>
      </c>
    </row>
    <row r="51" spans="2:11" x14ac:dyDescent="0.2">
      <c r="B51">
        <v>-8956280.8353564497</v>
      </c>
      <c r="C51">
        <v>-8824932.1072751991</v>
      </c>
      <c r="D51">
        <v>49805.070390326997</v>
      </c>
      <c r="E51">
        <v>6172995.2930191802</v>
      </c>
      <c r="F51">
        <v>9197674.8210797999</v>
      </c>
      <c r="G51">
        <v>13263883.385249499</v>
      </c>
      <c r="H51">
        <v>1956237.7483828501</v>
      </c>
      <c r="I51">
        <v>-15727056.4970304</v>
      </c>
      <c r="J51">
        <v>-3721593.74893595</v>
      </c>
      <c r="K51">
        <v>15220433.274679899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477CF-1D20-6440-B50B-AF6E3551E312}">
  <dimension ref="A1:D14"/>
  <sheetViews>
    <sheetView workbookViewId="0">
      <selection activeCell="D6" sqref="D6"/>
    </sheetView>
  </sheetViews>
  <sheetFormatPr baseColWidth="10" defaultColWidth="11" defaultRowHeight="16" x14ac:dyDescent="0.2"/>
  <sheetData>
    <row r="1" spans="1:4" x14ac:dyDescent="0.2">
      <c r="A1" t="s">
        <v>24</v>
      </c>
      <c r="B1" t="s">
        <v>27</v>
      </c>
      <c r="C1" t="s">
        <v>28</v>
      </c>
    </row>
    <row r="2" spans="1:4" x14ac:dyDescent="0.2">
      <c r="B2">
        <v>0.31</v>
      </c>
      <c r="D2" t="s">
        <v>29</v>
      </c>
    </row>
    <row r="3" spans="1:4" x14ac:dyDescent="0.2">
      <c r="B3">
        <v>0</v>
      </c>
      <c r="D3" t="s">
        <v>30</v>
      </c>
    </row>
    <row r="4" spans="1:4" x14ac:dyDescent="0.2">
      <c r="B4">
        <v>-0.4</v>
      </c>
      <c r="D4" t="s">
        <v>31</v>
      </c>
    </row>
    <row r="5" spans="1:4" x14ac:dyDescent="0.2">
      <c r="B5">
        <v>-0.41</v>
      </c>
      <c r="D5" t="s">
        <v>32</v>
      </c>
    </row>
    <row r="6" spans="1:4" x14ac:dyDescent="0.2">
      <c r="B6">
        <v>-0.76</v>
      </c>
      <c r="D6" t="s">
        <v>33</v>
      </c>
    </row>
    <row r="7" spans="1:4" x14ac:dyDescent="0.2">
      <c r="B7">
        <v>-0.14000000000000001</v>
      </c>
    </row>
    <row r="8" spans="1:4" x14ac:dyDescent="0.2">
      <c r="B8">
        <v>-0.66</v>
      </c>
    </row>
    <row r="9" spans="1:4" x14ac:dyDescent="0.2">
      <c r="B9">
        <v>-0.55000000000000004</v>
      </c>
    </row>
    <row r="10" spans="1:4" x14ac:dyDescent="0.2">
      <c r="B10">
        <v>-0.59</v>
      </c>
    </row>
    <row r="11" spans="1:4" x14ac:dyDescent="0.2">
      <c r="B11">
        <v>-0.6</v>
      </c>
    </row>
    <row r="12" spans="1:4" x14ac:dyDescent="0.2">
      <c r="B12">
        <v>-0.43</v>
      </c>
    </row>
    <row r="13" spans="1:4" x14ac:dyDescent="0.2">
      <c r="A13" t="s">
        <v>25</v>
      </c>
      <c r="B13">
        <f>AVERAGE(B2:B12)</f>
        <v>-0.38454545454545458</v>
      </c>
    </row>
    <row r="14" spans="1:4" x14ac:dyDescent="0.2">
      <c r="A14" t="s">
        <v>26</v>
      </c>
      <c r="B14">
        <f>STDEV(B2:B12)</f>
        <v>0.32029247997302823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2956-16FC-F541-9624-E9615FB1804E}">
  <dimension ref="A1:H23"/>
  <sheetViews>
    <sheetView workbookViewId="0">
      <selection activeCell="A24" sqref="A24:F250"/>
    </sheetView>
  </sheetViews>
  <sheetFormatPr baseColWidth="10" defaultColWidth="11" defaultRowHeight="16" x14ac:dyDescent="0.2"/>
  <cols>
    <col min="2" max="2" width="14" bestFit="1" customWidth="1"/>
    <col min="4" max="4" width="16" bestFit="1" customWidth="1"/>
    <col min="5" max="5" width="12.5" bestFit="1" customWidth="1"/>
    <col min="7" max="8" width="16" bestFit="1" customWidth="1"/>
  </cols>
  <sheetData>
    <row r="1" spans="1:8" x14ac:dyDescent="0.2">
      <c r="A1" t="s">
        <v>115</v>
      </c>
      <c r="B1" t="s">
        <v>19</v>
      </c>
      <c r="C1" t="s">
        <v>127</v>
      </c>
      <c r="D1" t="s">
        <v>102</v>
      </c>
      <c r="E1" t="s">
        <v>131</v>
      </c>
      <c r="F1" t="s">
        <v>132</v>
      </c>
      <c r="G1" t="s">
        <v>134</v>
      </c>
    </row>
    <row r="2" spans="1:8" x14ac:dyDescent="0.2">
      <c r="A2" t="s">
        <v>128</v>
      </c>
      <c r="B2">
        <v>1</v>
      </c>
      <c r="C2">
        <v>0</v>
      </c>
      <c r="D2" s="102">
        <f>$B$3/(1+$B$4)^C2</f>
        <v>7404348.4557847846</v>
      </c>
      <c r="E2" s="103">
        <f>D2-D3</f>
        <v>516582.45040358976</v>
      </c>
      <c r="G2" s="103">
        <f>D2</f>
        <v>7404348.4557847846</v>
      </c>
      <c r="H2" s="103">
        <f>$B$3*($B$6)^(C2)</f>
        <v>7404348.4557847846</v>
      </c>
    </row>
    <row r="3" spans="1:8" x14ac:dyDescent="0.2">
      <c r="A3" t="s">
        <v>98</v>
      </c>
      <c r="B3" s="102">
        <f>'Finance Main'!U4</f>
        <v>7404348.4557847846</v>
      </c>
      <c r="C3">
        <v>1</v>
      </c>
      <c r="D3" s="102">
        <f t="shared" ref="D3:D21" si="0">$B$3/(1+$B$4)^C3</f>
        <v>6887766.0053811949</v>
      </c>
      <c r="E3" s="103">
        <f t="shared" ref="E3:E21" si="1">D3-D4</f>
        <v>480541.8143289201</v>
      </c>
      <c r="F3">
        <f>D3/D2</f>
        <v>0.93023255813953487</v>
      </c>
      <c r="G3" s="103">
        <f>G2+D3</f>
        <v>14292114.46116598</v>
      </c>
      <c r="H3" s="103">
        <f t="shared" ref="H3:H21" si="2">$B$3*(1/(1+$B$4))^(C3)</f>
        <v>6887766.0053811949</v>
      </c>
    </row>
    <row r="4" spans="1:8" x14ac:dyDescent="0.2">
      <c r="A4" t="s">
        <v>129</v>
      </c>
      <c r="B4">
        <f>0.075</f>
        <v>7.4999999999999997E-2</v>
      </c>
      <c r="C4">
        <v>2</v>
      </c>
      <c r="D4" s="102">
        <f t="shared" si="0"/>
        <v>6407224.1910522748</v>
      </c>
      <c r="E4" s="103">
        <f t="shared" si="1"/>
        <v>447015.64123620465</v>
      </c>
      <c r="F4">
        <f t="shared" ref="F4:F22" si="3">D4/D3</f>
        <v>0.93023255813953498</v>
      </c>
      <c r="G4" s="103">
        <f>G3+D4</f>
        <v>20699338.652218252</v>
      </c>
      <c r="H4" s="103">
        <f t="shared" si="2"/>
        <v>6407224.1910522738</v>
      </c>
    </row>
    <row r="5" spans="1:8" x14ac:dyDescent="0.2">
      <c r="A5" t="s">
        <v>130</v>
      </c>
      <c r="B5">
        <f>'Finance Main'!AG21</f>
        <v>18245000</v>
      </c>
      <c r="C5">
        <v>3</v>
      </c>
      <c r="D5" s="102">
        <f t="shared" si="0"/>
        <v>5960208.5498160701</v>
      </c>
      <c r="E5" s="103">
        <f t="shared" si="1"/>
        <v>415828.50347554032</v>
      </c>
      <c r="F5">
        <f t="shared" si="3"/>
        <v>0.93023255813953498</v>
      </c>
      <c r="G5" s="103">
        <f t="shared" ref="G5:G22" si="4">G4+D5</f>
        <v>26659547.202034324</v>
      </c>
      <c r="H5" s="103">
        <f t="shared" si="2"/>
        <v>5960208.5498160683</v>
      </c>
    </row>
    <row r="6" spans="1:8" x14ac:dyDescent="0.2">
      <c r="A6" t="s">
        <v>133</v>
      </c>
      <c r="B6">
        <f>1/(1+B4)</f>
        <v>0.93023255813953487</v>
      </c>
      <c r="C6">
        <v>4</v>
      </c>
      <c r="D6" s="102">
        <f t="shared" si="0"/>
        <v>5544380.0463405298</v>
      </c>
      <c r="E6" s="103">
        <f t="shared" si="1"/>
        <v>386817.21253538597</v>
      </c>
      <c r="F6">
        <f t="shared" si="3"/>
        <v>0.93023255813953476</v>
      </c>
      <c r="G6" s="103">
        <f t="shared" si="4"/>
        <v>32203927.248374853</v>
      </c>
      <c r="H6" s="103">
        <f t="shared" si="2"/>
        <v>5544380.0463405289</v>
      </c>
    </row>
    <row r="7" spans="1:8" x14ac:dyDescent="0.2">
      <c r="A7" t="s">
        <v>81</v>
      </c>
      <c r="B7" t="s">
        <v>141</v>
      </c>
      <c r="C7">
        <v>5</v>
      </c>
      <c r="D7" s="102">
        <f t="shared" si="0"/>
        <v>5157562.8338051438</v>
      </c>
      <c r="E7" s="103">
        <f t="shared" si="1"/>
        <v>359829.96514919493</v>
      </c>
      <c r="F7">
        <f t="shared" si="3"/>
        <v>0.93023255813953487</v>
      </c>
      <c r="G7" s="103">
        <f t="shared" si="4"/>
        <v>37361490.082179993</v>
      </c>
      <c r="H7" s="103">
        <f t="shared" si="2"/>
        <v>5157562.8338051429</v>
      </c>
    </row>
    <row r="8" spans="1:8" x14ac:dyDescent="0.2">
      <c r="C8">
        <v>6</v>
      </c>
      <c r="D8" s="102">
        <f t="shared" si="0"/>
        <v>4797732.8686559489</v>
      </c>
      <c r="E8" s="103">
        <f t="shared" si="1"/>
        <v>334725.54897599667</v>
      </c>
      <c r="F8">
        <f t="shared" si="3"/>
        <v>0.93023255813953509</v>
      </c>
      <c r="G8" s="103">
        <f t="shared" si="4"/>
        <v>42159222.950835943</v>
      </c>
      <c r="H8" s="103">
        <f t="shared" si="2"/>
        <v>4797732.8686559461</v>
      </c>
    </row>
    <row r="9" spans="1:8" x14ac:dyDescent="0.2">
      <c r="C9">
        <v>7</v>
      </c>
      <c r="D9" s="102">
        <f t="shared" si="0"/>
        <v>4463007.3196799522</v>
      </c>
      <c r="E9" s="103">
        <f t="shared" si="1"/>
        <v>311372.60369860148</v>
      </c>
      <c r="F9">
        <f t="shared" si="3"/>
        <v>0.93023255813953487</v>
      </c>
      <c r="G9" s="103">
        <f t="shared" si="4"/>
        <v>46622230.270515896</v>
      </c>
      <c r="H9" s="103">
        <f t="shared" si="2"/>
        <v>4463007.3196799494</v>
      </c>
    </row>
    <row r="10" spans="1:8" x14ac:dyDescent="0.2">
      <c r="C10">
        <v>8</v>
      </c>
      <c r="D10" s="102">
        <f t="shared" si="0"/>
        <v>4151634.7159813507</v>
      </c>
      <c r="E10" s="103">
        <f t="shared" si="1"/>
        <v>289648.93367311731</v>
      </c>
      <c r="F10">
        <f t="shared" si="3"/>
        <v>0.93023255813953487</v>
      </c>
      <c r="G10" s="103">
        <f t="shared" si="4"/>
        <v>50773864.986497246</v>
      </c>
      <c r="H10" s="103">
        <f t="shared" si="2"/>
        <v>4151634.7159813489</v>
      </c>
    </row>
    <row r="11" spans="1:8" x14ac:dyDescent="0.2">
      <c r="C11">
        <v>9</v>
      </c>
      <c r="D11" s="102">
        <f t="shared" si="0"/>
        <v>3861985.7823082334</v>
      </c>
      <c r="E11" s="103">
        <f t="shared" si="1"/>
        <v>269440.86853313213</v>
      </c>
      <c r="F11">
        <f t="shared" si="3"/>
        <v>0.93023255813953498</v>
      </c>
      <c r="G11" s="103">
        <f t="shared" si="4"/>
        <v>54635850.768805481</v>
      </c>
      <c r="H11" s="103">
        <f t="shared" si="2"/>
        <v>3861985.7823082316</v>
      </c>
    </row>
    <row r="12" spans="1:8" x14ac:dyDescent="0.2">
      <c r="C12">
        <v>10</v>
      </c>
      <c r="D12" s="102">
        <f t="shared" si="0"/>
        <v>3592544.9137751013</v>
      </c>
      <c r="E12" s="103">
        <f t="shared" si="1"/>
        <v>250642.66840291442</v>
      </c>
      <c r="F12">
        <f t="shared" si="3"/>
        <v>0.93023255813953498</v>
      </c>
      <c r="G12" s="103">
        <f t="shared" si="4"/>
        <v>58228395.682580583</v>
      </c>
      <c r="H12" s="103">
        <f t="shared" si="2"/>
        <v>3592544.913775099</v>
      </c>
    </row>
    <row r="13" spans="1:8" x14ac:dyDescent="0.2">
      <c r="C13">
        <v>11</v>
      </c>
      <c r="D13" s="102">
        <f t="shared" si="0"/>
        <v>3341902.2453721869</v>
      </c>
      <c r="E13" s="103">
        <f t="shared" si="1"/>
        <v>233155.97060736176</v>
      </c>
      <c r="F13">
        <f t="shared" si="3"/>
        <v>0.93023255813953476</v>
      </c>
      <c r="G13" s="103">
        <f t="shared" si="4"/>
        <v>61570297.927952766</v>
      </c>
      <c r="H13" s="103">
        <f t="shared" si="2"/>
        <v>3341902.2453721846</v>
      </c>
    </row>
    <row r="14" spans="1:8" x14ac:dyDescent="0.2">
      <c r="C14">
        <v>12</v>
      </c>
      <c r="D14" s="102">
        <f t="shared" si="0"/>
        <v>3108746.2747648251</v>
      </c>
      <c r="E14" s="103">
        <f t="shared" si="1"/>
        <v>216889.27498359233</v>
      </c>
      <c r="F14">
        <f t="shared" si="3"/>
        <v>0.93023255813953487</v>
      </c>
      <c r="G14" s="103">
        <f t="shared" si="4"/>
        <v>64679044.202717595</v>
      </c>
      <c r="H14" s="103">
        <f t="shared" si="2"/>
        <v>3108746.2747648228</v>
      </c>
    </row>
    <row r="15" spans="1:8" x14ac:dyDescent="0.2">
      <c r="C15">
        <v>13</v>
      </c>
      <c r="D15" s="102">
        <f t="shared" si="0"/>
        <v>2891856.9997812328</v>
      </c>
      <c r="E15" s="103">
        <f t="shared" si="1"/>
        <v>201757.46510101622</v>
      </c>
      <c r="F15">
        <f t="shared" si="3"/>
        <v>0.93023255813953487</v>
      </c>
      <c r="G15" s="103">
        <f t="shared" si="4"/>
        <v>67570901.202498823</v>
      </c>
      <c r="H15" s="103">
        <f t="shared" si="2"/>
        <v>2891856.9997812305</v>
      </c>
    </row>
    <row r="16" spans="1:8" x14ac:dyDescent="0.2">
      <c r="C16">
        <v>14</v>
      </c>
      <c r="D16" s="102">
        <f t="shared" si="0"/>
        <v>2690099.5346802166</v>
      </c>
      <c r="E16" s="103">
        <f t="shared" si="1"/>
        <v>187681.36288466631</v>
      </c>
      <c r="F16">
        <f t="shared" si="3"/>
        <v>0.93023255813953487</v>
      </c>
      <c r="G16" s="103">
        <f t="shared" si="4"/>
        <v>70261000.737179041</v>
      </c>
      <c r="H16" s="103">
        <f t="shared" si="2"/>
        <v>2690099.5346802142</v>
      </c>
    </row>
    <row r="17" spans="3:8" x14ac:dyDescent="0.2">
      <c r="C17">
        <v>15</v>
      </c>
      <c r="D17" s="102">
        <f t="shared" si="0"/>
        <v>2502418.1717955503</v>
      </c>
      <c r="E17" s="103">
        <f t="shared" si="1"/>
        <v>174587.31431131717</v>
      </c>
      <c r="F17">
        <f t="shared" si="3"/>
        <v>0.93023255813953487</v>
      </c>
      <c r="G17" s="103">
        <f t="shared" si="4"/>
        <v>72763418.908974588</v>
      </c>
      <c r="H17" s="103">
        <f t="shared" si="2"/>
        <v>2502418.1717955479</v>
      </c>
    </row>
    <row r="18" spans="3:8" x14ac:dyDescent="0.2">
      <c r="C18">
        <v>16</v>
      </c>
      <c r="D18" s="102">
        <f t="shared" si="0"/>
        <v>2327830.8574842331</v>
      </c>
      <c r="E18" s="103">
        <f t="shared" si="1"/>
        <v>162406.80401052767</v>
      </c>
      <c r="F18">
        <f t="shared" si="3"/>
        <v>0.93023255813953498</v>
      </c>
      <c r="G18" s="103">
        <f t="shared" si="4"/>
        <v>75091249.766458824</v>
      </c>
      <c r="H18" s="103">
        <f t="shared" si="2"/>
        <v>2327830.8574842312</v>
      </c>
    </row>
    <row r="19" spans="3:8" x14ac:dyDescent="0.2">
      <c r="C19">
        <v>17</v>
      </c>
      <c r="D19" s="102">
        <f t="shared" si="0"/>
        <v>2165424.0534737054</v>
      </c>
      <c r="E19" s="103">
        <f t="shared" si="1"/>
        <v>151076.09675397933</v>
      </c>
      <c r="F19">
        <f t="shared" si="3"/>
        <v>0.93023255813953498</v>
      </c>
      <c r="G19" s="103">
        <f t="shared" si="4"/>
        <v>77256673.819932535</v>
      </c>
      <c r="H19" s="103">
        <f t="shared" si="2"/>
        <v>2165424.0534737031</v>
      </c>
    </row>
    <row r="20" spans="3:8" x14ac:dyDescent="0.2">
      <c r="C20">
        <v>18</v>
      </c>
      <c r="D20" s="102">
        <f t="shared" si="0"/>
        <v>2014347.9567197261</v>
      </c>
      <c r="E20" s="103">
        <f t="shared" si="1"/>
        <v>140535.90395719046</v>
      </c>
      <c r="F20">
        <f t="shared" si="3"/>
        <v>0.93023255813953498</v>
      </c>
      <c r="G20" s="103">
        <f t="shared" si="4"/>
        <v>79271021.776652262</v>
      </c>
      <c r="H20" s="103">
        <f t="shared" si="2"/>
        <v>2014347.9567197238</v>
      </c>
    </row>
    <row r="21" spans="3:8" x14ac:dyDescent="0.2">
      <c r="C21">
        <v>19</v>
      </c>
      <c r="D21" s="102">
        <f t="shared" si="0"/>
        <v>1873812.0527625356</v>
      </c>
      <c r="E21" s="103">
        <f t="shared" si="1"/>
        <v>130731.07344854879</v>
      </c>
      <c r="F21">
        <f t="shared" si="3"/>
        <v>0.93023255813953476</v>
      </c>
      <c r="G21" s="103">
        <f t="shared" si="4"/>
        <v>81144833.8294148</v>
      </c>
      <c r="H21" s="103">
        <f t="shared" si="2"/>
        <v>1873812.0527625338</v>
      </c>
    </row>
    <row r="22" spans="3:8" x14ac:dyDescent="0.2">
      <c r="C22">
        <v>20</v>
      </c>
      <c r="D22" s="102">
        <f>$B$3/(1+$B$4)^C22</f>
        <v>1743080.9793139868</v>
      </c>
      <c r="F22">
        <f t="shared" si="3"/>
        <v>0.93023255813953498</v>
      </c>
      <c r="G22" s="103">
        <f t="shared" si="4"/>
        <v>82887914.808728784</v>
      </c>
      <c r="H22" s="103">
        <f>$B$3*($B$6)^(C22)</f>
        <v>1743080.9793139847</v>
      </c>
    </row>
    <row r="23" spans="3:8" x14ac:dyDescent="0.2">
      <c r="D23" s="103">
        <f>SUM(D2:D22)</f>
        <v>82887914.808728784</v>
      </c>
      <c r="G23" s="103"/>
      <c r="H23" s="103">
        <f>$B$3*(1-B6^(C22+1))/(1-B6)</f>
        <v>82887914.808728769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First Pywake Outputs</vt:lpstr>
      <vt:lpstr>Updated Pywake Outputs</vt:lpstr>
      <vt:lpstr>Finance Main</vt:lpstr>
      <vt:lpstr>Finance with Optimal CfD</vt:lpstr>
      <vt:lpstr>Finance with Pessimistic CfD</vt:lpstr>
      <vt:lpstr>Finance with 2X AEP</vt:lpstr>
      <vt:lpstr>Capex Calculations</vt:lpstr>
      <vt:lpstr>Winch Energy Cost</vt:lpstr>
      <vt:lpstr>Tables for Write-up</vt:lpstr>
      <vt:lpstr>Site Details</vt:lpstr>
      <vt:lpstr>Turbine Shift Measurements</vt:lpstr>
      <vt:lpstr>Trial Vortex Bias</vt:lpstr>
      <vt:lpstr>Trial NPV Summation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Seamus Flannery</dc:creator>
  <cp:lastModifiedBy>Seamus Flannery</cp:lastModifiedBy>
  <dcterms:created xsi:type="dcterms:W3CDTF">2024-07-01T11:20:36Z</dcterms:created>
  <dcterms:modified xsi:type="dcterms:W3CDTF">2024-08-16T19:54:12Z</dcterms:modified>
</cp:coreProperties>
</file>