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5c150732c7266b/Desktop/Finance/"/>
    </mc:Choice>
  </mc:AlternateContent>
  <xr:revisionPtr revIDLastSave="0" documentId="8_{F63F6F26-742A-4CD3-8FE8-60FFDEFC850D}" xr6:coauthVersionLast="47" xr6:coauthVersionMax="47" xr10:uidLastSave="{00000000-0000-0000-0000-000000000000}"/>
  <bookViews>
    <workbookView xWindow="-108" yWindow="-108" windowWidth="23256" windowHeight="12576" xr2:uid="{F482876B-3D8B-4408-B0F1-2A02321646E5}"/>
  </bookViews>
  <sheets>
    <sheet name="LB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O103" i="1"/>
  <c r="O100" i="1"/>
  <c r="O102" i="1"/>
  <c r="O98" i="1"/>
  <c r="O97" i="1"/>
  <c r="O95" i="1"/>
  <c r="O96" i="1" s="1"/>
  <c r="O94" i="1"/>
  <c r="O40" i="1"/>
  <c r="N40" i="1"/>
  <c r="M40" i="1"/>
  <c r="K40" i="1"/>
  <c r="K88" i="1"/>
  <c r="K87" i="1"/>
  <c r="J90" i="1"/>
  <c r="K81" i="1"/>
  <c r="K80" i="1"/>
  <c r="J83" i="1"/>
  <c r="K74" i="1"/>
  <c r="K73" i="1"/>
  <c r="J76" i="1"/>
  <c r="K46" i="1"/>
  <c r="L46" i="1"/>
  <c r="M46" i="1"/>
  <c r="N46" i="1"/>
  <c r="O46" i="1"/>
  <c r="J46" i="1"/>
  <c r="J37" i="1"/>
  <c r="J59" i="1"/>
  <c r="J55" i="1"/>
  <c r="J52" i="1"/>
  <c r="J34" i="1"/>
  <c r="O32" i="1"/>
  <c r="L32" i="1"/>
  <c r="M32" i="1"/>
  <c r="N32" i="1"/>
  <c r="K32" i="1"/>
  <c r="J31" i="1"/>
  <c r="L24" i="1"/>
  <c r="M24" i="1" s="1"/>
  <c r="L21" i="1"/>
  <c r="E22" i="1"/>
  <c r="D22" i="1" s="1"/>
  <c r="E21" i="1"/>
  <c r="D21" i="1" s="1"/>
  <c r="D5" i="1"/>
  <c r="D7" i="1" s="1"/>
  <c r="D9" i="1" s="1"/>
  <c r="L22" i="1" s="1"/>
  <c r="M22" i="1" s="1"/>
  <c r="J35" i="1" l="1"/>
  <c r="K35" i="1" s="1"/>
  <c r="K53" i="1"/>
  <c r="J38" i="1"/>
  <c r="K56" i="1"/>
  <c r="M60" i="1"/>
  <c r="L60" i="1"/>
  <c r="J53" i="1"/>
  <c r="O56" i="1"/>
  <c r="O53" i="1"/>
  <c r="N56" i="1"/>
  <c r="K60" i="1"/>
  <c r="J56" i="1"/>
  <c r="N53" i="1"/>
  <c r="M56" i="1"/>
  <c r="J60" i="1"/>
  <c r="M53" i="1"/>
  <c r="L56" i="1"/>
  <c r="O60" i="1"/>
  <c r="L53" i="1"/>
  <c r="N60" i="1"/>
  <c r="L35" i="1"/>
  <c r="D23" i="1"/>
  <c r="K31" i="1"/>
  <c r="L31" i="1" s="1"/>
  <c r="M31" i="1" s="1"/>
  <c r="N31" i="1" s="1"/>
  <c r="O31" i="1" s="1"/>
  <c r="E23" i="1"/>
  <c r="L27" i="1"/>
  <c r="N22" i="1" s="1"/>
  <c r="M21" i="1"/>
  <c r="O52" i="1" l="1"/>
  <c r="O65" i="1" s="1"/>
  <c r="K59" i="1"/>
  <c r="K66" i="1" s="1"/>
  <c r="M27" i="1"/>
  <c r="N27" i="1"/>
  <c r="N55" i="1"/>
  <c r="O59" i="1"/>
  <c r="O66" i="1" s="1"/>
  <c r="L55" i="1"/>
  <c r="M55" i="1"/>
  <c r="M57" i="1" s="1"/>
  <c r="M67" i="1" s="1"/>
  <c r="L59" i="1"/>
  <c r="L66" i="1" s="1"/>
  <c r="M59" i="1"/>
  <c r="M66" i="1" s="1"/>
  <c r="O55" i="1"/>
  <c r="N59" i="1"/>
  <c r="N66" i="1" s="1"/>
  <c r="K55" i="1"/>
  <c r="K57" i="1" s="1"/>
  <c r="K67" i="1" s="1"/>
  <c r="K34" i="1"/>
  <c r="K52" i="1"/>
  <c r="K65" i="1" s="1"/>
  <c r="L52" i="1"/>
  <c r="L65" i="1" s="1"/>
  <c r="M52" i="1"/>
  <c r="M65" i="1" s="1"/>
  <c r="N52" i="1"/>
  <c r="N65" i="1" s="1"/>
  <c r="M35" i="1"/>
  <c r="L34" i="1"/>
  <c r="N21" i="1"/>
  <c r="D27" i="1"/>
  <c r="F23" i="1" s="1"/>
  <c r="N24" i="1"/>
  <c r="L37" i="1" l="1"/>
  <c r="F21" i="1"/>
  <c r="D25" i="1"/>
  <c r="F25" i="1" s="1"/>
  <c r="F27" i="1"/>
  <c r="E27" i="1"/>
  <c r="O57" i="1"/>
  <c r="O67" i="1" s="1"/>
  <c r="K37" i="1"/>
  <c r="F22" i="1"/>
  <c r="L57" i="1"/>
  <c r="L67" i="1" s="1"/>
  <c r="N57" i="1"/>
  <c r="N67" i="1" s="1"/>
  <c r="N35" i="1"/>
  <c r="M34" i="1"/>
  <c r="M37" i="1" s="1"/>
  <c r="E25" i="1"/>
  <c r="M38" i="1" l="1"/>
  <c r="K38" i="1"/>
  <c r="L38" i="1"/>
  <c r="O35" i="1"/>
  <c r="O34" i="1" s="1"/>
  <c r="O37" i="1" s="1"/>
  <c r="N34" i="1"/>
  <c r="N37" i="1" s="1"/>
  <c r="O38" i="1" l="1"/>
  <c r="O42" i="1"/>
  <c r="N38" i="1"/>
  <c r="O43" i="1" l="1"/>
  <c r="O45" i="1"/>
  <c r="O48" i="1" s="1"/>
  <c r="O49" i="1" l="1"/>
  <c r="O64" i="1"/>
  <c r="O68" i="1" s="1"/>
  <c r="M42" i="1" l="1"/>
  <c r="M43" i="1" s="1"/>
  <c r="M45" i="1" l="1"/>
  <c r="M48" i="1" s="1"/>
  <c r="M49" i="1" l="1"/>
  <c r="M64" i="1"/>
  <c r="M68" i="1" s="1"/>
  <c r="N42" i="1" l="1"/>
  <c r="N45" i="1" s="1"/>
  <c r="N48" i="1" s="1"/>
  <c r="N43" i="1" l="1"/>
  <c r="N64" i="1"/>
  <c r="N68" i="1" s="1"/>
  <c r="N49" i="1"/>
  <c r="K42" i="1"/>
  <c r="K45" i="1" s="1"/>
  <c r="K48" i="1" s="1"/>
  <c r="K43" i="1" l="1"/>
  <c r="K49" i="1"/>
  <c r="K64" i="1"/>
  <c r="K68" i="1" s="1"/>
  <c r="K75" i="1" l="1"/>
  <c r="K76" i="1" s="1"/>
  <c r="L73" i="1" s="1"/>
  <c r="L74" i="1" l="1"/>
  <c r="K82" i="1"/>
  <c r="K83" i="1" l="1"/>
  <c r="K89" i="1"/>
  <c r="L81" i="1" l="1"/>
  <c r="L88" i="1" s="1"/>
  <c r="L40" i="1" s="1"/>
  <c r="L42" i="1" s="1"/>
  <c r="L80" i="1"/>
  <c r="K90" i="1"/>
  <c r="L43" i="1" l="1"/>
  <c r="L45" i="1"/>
  <c r="L48" i="1" s="1"/>
  <c r="L87" i="1"/>
  <c r="L49" i="1" l="1"/>
  <c r="L64" i="1"/>
  <c r="L68" i="1" s="1"/>
  <c r="L75" i="1" s="1"/>
  <c r="L82" i="1" l="1"/>
  <c r="L76" i="1"/>
  <c r="M73" i="1" s="1"/>
  <c r="M74" i="1" l="1"/>
  <c r="M75" i="1"/>
  <c r="M82" i="1" s="1"/>
  <c r="M89" i="1" s="1"/>
  <c r="L89" i="1"/>
  <c r="L83" i="1"/>
  <c r="M80" i="1" l="1"/>
  <c r="L90" i="1"/>
  <c r="M81" i="1"/>
  <c r="M88" i="1" s="1"/>
  <c r="M76" i="1"/>
  <c r="N73" i="1" s="1"/>
  <c r="N75" i="1" l="1"/>
  <c r="N82" i="1" s="1"/>
  <c r="N89" i="1" s="1"/>
  <c r="N74" i="1"/>
  <c r="M87" i="1"/>
  <c r="M83" i="1"/>
  <c r="N81" i="1" l="1"/>
  <c r="N88" i="1" s="1"/>
  <c r="M90" i="1"/>
  <c r="N80" i="1"/>
  <c r="N76" i="1"/>
  <c r="O73" i="1" s="1"/>
  <c r="O75" i="1" l="1"/>
  <c r="O82" i="1" s="1"/>
  <c r="O89" i="1" s="1"/>
  <c r="O74" i="1"/>
  <c r="N83" i="1"/>
  <c r="N87" i="1"/>
  <c r="N90" i="1" l="1"/>
  <c r="O81" i="1"/>
  <c r="O88" i="1" s="1"/>
  <c r="O80" i="1"/>
  <c r="O76" i="1"/>
  <c r="O87" i="1" l="1"/>
  <c r="O83" i="1"/>
  <c r="O9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Sean</author>
  </authors>
  <commentList>
    <comment ref="M5" authorId="0" shapeId="0" xr:uid="{E196F0D6-3F2B-45EF-BFE0-4858C1995378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4x EBITDA
OR 2X EBITDA
</t>
        </r>
      </text>
    </comment>
    <comment ref="K40" authorId="0" shapeId="0" xr:uid="{F4907316-F5C7-4D86-8A64-7A96C2D9621B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Add after debt schedule 
</t>
        </r>
      </text>
    </comment>
    <comment ref="K81" authorId="0" shapeId="0" xr:uid="{8C7AB8EA-91E6-4738-A711-9E2AA0C31360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Simplified Edition. Depends on payment terms 
</t>
        </r>
      </text>
    </comment>
    <comment ref="K82" authorId="0" shapeId="0" xr:uid="{1344B616-ACD8-430E-8DE9-5EC64EB9EB95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due to using all free cashflow to pay first tranche of debt 
</t>
        </r>
      </text>
    </comment>
    <comment ref="O82" authorId="0" shapeId="0" xr:uid="{4ADAB678-2026-437E-BEDA-FF106D84A992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havnt paid off trache debt 1 yet
</t>
        </r>
      </text>
    </comment>
  </commentList>
</comments>
</file>

<file path=xl/sharedStrings.xml><?xml version="1.0" encoding="utf-8"?>
<sst xmlns="http://schemas.openxmlformats.org/spreadsheetml/2006/main" count="124" uniqueCount="79">
  <si>
    <t>Assumptions</t>
  </si>
  <si>
    <t>Entry($MM)</t>
  </si>
  <si>
    <t xml:space="preserve">LTM EBITDA </t>
  </si>
  <si>
    <t>EBITDA Multiple</t>
  </si>
  <si>
    <t xml:space="preserve">Enterprise Value </t>
  </si>
  <si>
    <t xml:space="preserve">Existing net debt </t>
  </si>
  <si>
    <t xml:space="preserve">Equity value </t>
  </si>
  <si>
    <t>Financials</t>
  </si>
  <si>
    <t xml:space="preserve">LTM Financials </t>
  </si>
  <si>
    <t xml:space="preserve">Revenue </t>
  </si>
  <si>
    <t>EBITDA</t>
  </si>
  <si>
    <t>D&amp;A</t>
  </si>
  <si>
    <t>Capex</t>
  </si>
  <si>
    <t>NWC</t>
  </si>
  <si>
    <t>Exit($MM)</t>
  </si>
  <si>
    <t>Operating Assumption</t>
  </si>
  <si>
    <t xml:space="preserve">Rev Growth </t>
  </si>
  <si>
    <t xml:space="preserve">YoY Margin Expansion </t>
  </si>
  <si>
    <t xml:space="preserve">Tax rate </t>
  </si>
  <si>
    <t xml:space="preserve">Capital structure </t>
  </si>
  <si>
    <t xml:space="preserve">Bank Debt </t>
  </si>
  <si>
    <t>Senior notes</t>
  </si>
  <si>
    <t xml:space="preserve">For Ref </t>
  </si>
  <si>
    <t>IRR</t>
  </si>
  <si>
    <t xml:space="preserve">Fees and expenses </t>
  </si>
  <si>
    <t>Sources and Uses</t>
  </si>
  <si>
    <t>Sources</t>
  </si>
  <si>
    <t>Amount</t>
  </si>
  <si>
    <t>xEBITDA</t>
  </si>
  <si>
    <t>% Capital</t>
  </si>
  <si>
    <t>Senior Notes</t>
  </si>
  <si>
    <t xml:space="preserve">Total Debt </t>
  </si>
  <si>
    <t xml:space="preserve">Sponsor Equity </t>
  </si>
  <si>
    <t xml:space="preserve">Total sources </t>
  </si>
  <si>
    <t>Uses</t>
  </si>
  <si>
    <t>Debt Retirment</t>
  </si>
  <si>
    <t xml:space="preserve">Equity Payment </t>
  </si>
  <si>
    <t xml:space="preserve">Fees and EXP </t>
  </si>
  <si>
    <t xml:space="preserve">Total Uses </t>
  </si>
  <si>
    <t xml:space="preserve">Financials </t>
  </si>
  <si>
    <t xml:space="preserve">Operating Model </t>
  </si>
  <si>
    <t>Year 5</t>
  </si>
  <si>
    <t>Year 1</t>
  </si>
  <si>
    <t>Year 2</t>
  </si>
  <si>
    <t>Year 3</t>
  </si>
  <si>
    <t>Year 4</t>
  </si>
  <si>
    <t>Year 0</t>
  </si>
  <si>
    <t xml:space="preserve">% Growth </t>
  </si>
  <si>
    <t xml:space="preserve">EBITDA </t>
  </si>
  <si>
    <t>EBT</t>
  </si>
  <si>
    <t>Taxes</t>
  </si>
  <si>
    <t>EBIT</t>
  </si>
  <si>
    <t>% Sales</t>
  </si>
  <si>
    <t>% Tax rate</t>
  </si>
  <si>
    <t xml:space="preserve"> </t>
  </si>
  <si>
    <t>Cash Flow Items</t>
  </si>
  <si>
    <t>% sales</t>
  </si>
  <si>
    <t xml:space="preserve">Net working Capital </t>
  </si>
  <si>
    <t>Changes in Net working Cap</t>
  </si>
  <si>
    <t>CapEX</t>
  </si>
  <si>
    <t>Intrest</t>
  </si>
  <si>
    <t>Net income</t>
  </si>
  <si>
    <t xml:space="preserve">Leveraged Cash Flow </t>
  </si>
  <si>
    <t xml:space="preserve">CapEX </t>
  </si>
  <si>
    <t xml:space="preserve">Change in NWC </t>
  </si>
  <si>
    <t xml:space="preserve">Debt Schedule </t>
  </si>
  <si>
    <t xml:space="preserve">Beginning Balance </t>
  </si>
  <si>
    <t xml:space="preserve">Paydown </t>
  </si>
  <si>
    <t xml:space="preserve">Ending Balance </t>
  </si>
  <si>
    <t>SR Notes</t>
  </si>
  <si>
    <t xml:space="preserve">Interest </t>
  </si>
  <si>
    <t xml:space="preserve"> IRR </t>
  </si>
  <si>
    <t>LTM EBITDA @ Exit</t>
  </si>
  <si>
    <t xml:space="preserve">Exit Multiple </t>
  </si>
  <si>
    <t xml:space="preserve">Enterprise value </t>
  </si>
  <si>
    <t xml:space="preserve">Net Debt </t>
  </si>
  <si>
    <t xml:space="preserve">Sponsor Equity Value </t>
  </si>
  <si>
    <t xml:space="preserve">Sponsor equity at entry </t>
  </si>
  <si>
    <t>MOIC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</si>
</sst>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4"/>
      <name val="Aptos Narrow"/>
      <family val="2"/>
      <scheme val="minor"/>
    </font>
    <font>
      <b/>
      <sz val="11"/>
      <color theme="4"/>
      <name val="Aptos Narrow"/>
      <family val="2"/>
      <scheme val="minor"/>
    </font>
    <font>
      <sz val="9"/>
      <color indexed="81"/>
      <name val="Tahoma"/>
      <family val="2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0" borderId="1" xfId="0" applyBorder="1"/>
    <xf numFmtId="0" fontId="4" fillId="0" borderId="0" xfId="0" applyFont="1"/>
    <xf numFmtId="0" fontId="2" fillId="3" borderId="0" xfId="0" applyFont="1" applyFill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3" fillId="0" borderId="0" xfId="0" applyFont="1"/>
    <xf numFmtId="0" fontId="0" fillId="0" borderId="2" xfId="0" applyBorder="1"/>
    <xf numFmtId="0" fontId="0" fillId="6" borderId="0" xfId="0" applyFill="1"/>
    <xf numFmtId="4" fontId="0" fillId="0" borderId="0" xfId="0" applyNumberFormat="1" applyFont="1" applyAlignment="1">
      <alignment horizontal="center" vertical="center"/>
    </xf>
    <xf numFmtId="4" fontId="6" fillId="4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/>
    <xf numFmtId="43" fontId="0" fillId="0" borderId="0" xfId="1" applyFont="1"/>
    <xf numFmtId="43" fontId="3" fillId="0" borderId="2" xfId="1" applyFont="1" applyBorder="1"/>
    <xf numFmtId="4" fontId="0" fillId="0" borderId="0" xfId="0" applyNumberFormat="1"/>
    <xf numFmtId="43" fontId="0" fillId="0" borderId="0" xfId="0" applyNumberFormat="1"/>
    <xf numFmtId="10" fontId="0" fillId="0" borderId="0" xfId="2" applyNumberFormat="1" applyFont="1"/>
    <xf numFmtId="9" fontId="0" fillId="6" borderId="0" xfId="2" applyFont="1" applyFill="1"/>
    <xf numFmtId="4" fontId="3" fillId="6" borderId="0" xfId="0" applyNumberFormat="1" applyFont="1" applyFill="1"/>
    <xf numFmtId="0" fontId="3" fillId="6" borderId="0" xfId="0" applyFont="1" applyFill="1"/>
    <xf numFmtId="9" fontId="3" fillId="6" borderId="0" xfId="2" applyFont="1" applyFill="1"/>
    <xf numFmtId="10" fontId="3" fillId="0" borderId="2" xfId="2" applyNumberFormat="1" applyFont="1" applyBorder="1"/>
    <xf numFmtId="10" fontId="3" fillId="6" borderId="0" xfId="2" applyNumberFormat="1" applyFont="1" applyFill="1"/>
    <xf numFmtId="0" fontId="9" fillId="0" borderId="0" xfId="0" applyFont="1"/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0" borderId="0" xfId="2" applyNumberFormat="1" applyFont="1" applyAlignment="1">
      <alignment horizontal="center" vertical="center"/>
    </xf>
    <xf numFmtId="9" fontId="9" fillId="0" borderId="0" xfId="2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0" fillId="0" borderId="3" xfId="0" applyBorder="1"/>
    <xf numFmtId="43" fontId="0" fillId="0" borderId="3" xfId="0" applyNumberFormat="1" applyBorder="1"/>
    <xf numFmtId="0" fontId="3" fillId="0" borderId="3" xfId="0" applyFont="1" applyBorder="1"/>
    <xf numFmtId="43" fontId="3" fillId="0" borderId="3" xfId="0" applyNumberFormat="1" applyFont="1" applyBorder="1"/>
    <xf numFmtId="0" fontId="0" fillId="6" borderId="3" xfId="0" applyFill="1" applyBorder="1"/>
    <xf numFmtId="0" fontId="0" fillId="6" borderId="0" xfId="0" applyFill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2" fontId="0" fillId="6" borderId="0" xfId="0" applyNumberFormat="1" applyFill="1"/>
    <xf numFmtId="0" fontId="0" fillId="7" borderId="0" xfId="0" applyFill="1" applyAlignment="1">
      <alignment horizontal="center" vertical="center"/>
    </xf>
    <xf numFmtId="10" fontId="0" fillId="7" borderId="0" xfId="0" applyNumberForma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894C8-207C-4A83-AC05-3B75537184E1}">
  <dimension ref="A2:O103"/>
  <sheetViews>
    <sheetView tabSelected="1" workbookViewId="0">
      <selection activeCell="L16" sqref="L16"/>
    </sheetView>
  </sheetViews>
  <sheetFormatPr defaultRowHeight="14.4" x14ac:dyDescent="0.3"/>
  <cols>
    <col min="2" max="2" width="23.44140625" bestFit="1" customWidth="1"/>
    <col min="4" max="4" width="9.44140625" bestFit="1" customWidth="1"/>
    <col min="6" max="6" width="9" bestFit="1" customWidth="1"/>
    <col min="7" max="7" width="19.6640625" bestFit="1" customWidth="1"/>
    <col min="9" max="9" width="9.109375" bestFit="1" customWidth="1"/>
    <col min="10" max="10" width="13.5546875" bestFit="1" customWidth="1"/>
    <col min="11" max="11" width="15.44140625" bestFit="1" customWidth="1"/>
    <col min="12" max="12" width="10" bestFit="1" customWidth="1"/>
    <col min="13" max="14" width="12" bestFit="1" customWidth="1"/>
    <col min="15" max="15" width="16.6640625" bestFit="1" customWidth="1"/>
  </cols>
  <sheetData>
    <row r="2" spans="1:1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4" spans="1:15" x14ac:dyDescent="0.3">
      <c r="A4" s="6"/>
      <c r="B4" s="10" t="s">
        <v>1</v>
      </c>
      <c r="C4" s="11"/>
      <c r="D4" s="11"/>
      <c r="E4" s="6"/>
      <c r="F4" s="6"/>
      <c r="G4" s="10" t="s">
        <v>7</v>
      </c>
      <c r="H4" s="12"/>
      <c r="I4" s="12"/>
      <c r="J4" s="6"/>
      <c r="K4" s="10" t="s">
        <v>19</v>
      </c>
      <c r="L4" s="10"/>
      <c r="M4" s="10"/>
      <c r="N4" s="5"/>
    </row>
    <row r="5" spans="1:15" x14ac:dyDescent="0.3">
      <c r="B5" s="6" t="s">
        <v>2</v>
      </c>
      <c r="C5" s="6"/>
      <c r="D5" s="24">
        <f>I7</f>
        <v>250</v>
      </c>
      <c r="E5" s="6"/>
      <c r="F5" s="6"/>
      <c r="G5" s="8" t="s">
        <v>8</v>
      </c>
      <c r="H5" s="6"/>
      <c r="I5" s="6"/>
      <c r="J5" s="6"/>
      <c r="K5" s="6" t="s">
        <v>20</v>
      </c>
      <c r="L5" s="6"/>
      <c r="M5" s="19">
        <v>4</v>
      </c>
      <c r="N5" s="19">
        <v>0.06</v>
      </c>
    </row>
    <row r="6" spans="1:15" x14ac:dyDescent="0.3">
      <c r="B6" s="9" t="s">
        <v>3</v>
      </c>
      <c r="C6" s="9"/>
      <c r="D6" s="25">
        <v>10</v>
      </c>
      <c r="E6" s="6"/>
      <c r="F6" s="6"/>
      <c r="G6" s="6" t="s">
        <v>9</v>
      </c>
      <c r="H6" s="6"/>
      <c r="I6" s="19">
        <v>1000</v>
      </c>
      <c r="J6" s="6"/>
      <c r="K6" s="6" t="s">
        <v>21</v>
      </c>
      <c r="L6" s="6"/>
      <c r="M6" s="19">
        <v>2</v>
      </c>
      <c r="N6" s="19">
        <v>0.12</v>
      </c>
    </row>
    <row r="7" spans="1:15" x14ac:dyDescent="0.3">
      <c r="B7" s="14" t="s">
        <v>4</v>
      </c>
      <c r="C7" s="6"/>
      <c r="D7" s="15">
        <f>(D6*D5)</f>
        <v>2500</v>
      </c>
      <c r="E7" s="6"/>
      <c r="F7" s="6"/>
      <c r="G7" s="6" t="s">
        <v>10</v>
      </c>
      <c r="H7" s="6"/>
      <c r="I7" s="19">
        <v>250</v>
      </c>
      <c r="J7" s="6"/>
      <c r="K7" s="6"/>
      <c r="L7" s="6"/>
      <c r="M7" s="6"/>
      <c r="N7" s="6"/>
    </row>
    <row r="8" spans="1:15" x14ac:dyDescent="0.3">
      <c r="B8" s="9" t="s">
        <v>5</v>
      </c>
      <c r="C8" s="9"/>
      <c r="D8" s="25">
        <v>500</v>
      </c>
      <c r="E8" s="6"/>
      <c r="F8" s="6"/>
      <c r="G8" s="6" t="s">
        <v>11</v>
      </c>
      <c r="H8" s="6"/>
      <c r="I8" s="19">
        <v>50</v>
      </c>
      <c r="J8" s="6"/>
      <c r="K8" s="10" t="s">
        <v>22</v>
      </c>
      <c r="L8" s="10"/>
      <c r="M8" s="10"/>
      <c r="N8" s="10"/>
    </row>
    <row r="9" spans="1:15" x14ac:dyDescent="0.3">
      <c r="B9" s="14" t="s">
        <v>6</v>
      </c>
      <c r="C9" s="6"/>
      <c r="D9" s="15">
        <f>SUM(D7-D8)</f>
        <v>2000</v>
      </c>
      <c r="E9" s="6"/>
      <c r="F9" s="6"/>
      <c r="G9" s="6" t="s">
        <v>12</v>
      </c>
      <c r="H9" s="6"/>
      <c r="I9" s="19">
        <v>75</v>
      </c>
      <c r="J9" s="6"/>
      <c r="K9" s="55" t="s">
        <v>23</v>
      </c>
      <c r="L9" s="55"/>
      <c r="M9" s="55"/>
      <c r="N9" s="56">
        <f>O103</f>
        <v>0.24952597107560948</v>
      </c>
    </row>
    <row r="10" spans="1:15" x14ac:dyDescent="0.3">
      <c r="B10" s="6"/>
      <c r="C10" s="6"/>
      <c r="D10" s="6"/>
      <c r="E10" s="6"/>
      <c r="F10" s="6"/>
      <c r="G10" s="6" t="s">
        <v>13</v>
      </c>
      <c r="H10" s="6"/>
      <c r="I10" s="19">
        <v>100</v>
      </c>
      <c r="J10" s="6"/>
      <c r="K10" s="6"/>
      <c r="L10" s="6"/>
      <c r="M10" s="6"/>
      <c r="N10" s="6"/>
    </row>
    <row r="11" spans="1:15" x14ac:dyDescent="0.3">
      <c r="B11" s="17" t="s">
        <v>24</v>
      </c>
      <c r="C11" s="6"/>
      <c r="D11" s="25">
        <v>50</v>
      </c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5" x14ac:dyDescent="0.3">
      <c r="B12" s="16"/>
      <c r="C12" s="16"/>
      <c r="D12" s="16"/>
      <c r="E12" s="6"/>
      <c r="F12" s="6"/>
      <c r="G12" s="8" t="s">
        <v>15</v>
      </c>
      <c r="H12" s="6"/>
      <c r="I12" s="6"/>
      <c r="J12" s="6"/>
      <c r="K12" s="6"/>
      <c r="L12" s="6"/>
      <c r="M12" s="6"/>
      <c r="N12" s="6"/>
    </row>
    <row r="13" spans="1:15" x14ac:dyDescent="0.3">
      <c r="B13" s="10" t="s">
        <v>14</v>
      </c>
      <c r="C13" s="10"/>
      <c r="D13" s="10"/>
      <c r="E13" s="6"/>
      <c r="F13" s="6"/>
      <c r="G13" s="6" t="s">
        <v>16</v>
      </c>
      <c r="H13" s="6"/>
      <c r="I13" s="20">
        <v>7.0000000000000007E-2</v>
      </c>
      <c r="J13" s="6"/>
      <c r="K13" s="6"/>
      <c r="L13" s="6"/>
      <c r="M13" s="6"/>
      <c r="N13" s="6"/>
    </row>
    <row r="14" spans="1:15" x14ac:dyDescent="0.3">
      <c r="B14" s="6" t="s">
        <v>3</v>
      </c>
      <c r="C14" s="6"/>
      <c r="D14" s="18">
        <v>10</v>
      </c>
      <c r="E14" s="6"/>
      <c r="F14" s="6"/>
      <c r="G14" s="6" t="s">
        <v>17</v>
      </c>
      <c r="H14" s="6"/>
      <c r="I14" s="20">
        <v>0.01</v>
      </c>
      <c r="J14" s="6"/>
      <c r="K14" s="6"/>
      <c r="L14" s="6"/>
      <c r="M14" s="6"/>
      <c r="N14" s="6"/>
    </row>
    <row r="15" spans="1:15" x14ac:dyDescent="0.3">
      <c r="B15" s="6"/>
      <c r="C15" s="6"/>
      <c r="D15" s="6"/>
      <c r="E15" s="6"/>
      <c r="F15" s="6"/>
      <c r="G15" s="6" t="s">
        <v>18</v>
      </c>
      <c r="H15" s="6"/>
      <c r="I15" s="20">
        <v>0.21</v>
      </c>
      <c r="J15" s="6"/>
      <c r="K15" s="6"/>
      <c r="L15" s="6"/>
      <c r="M15" s="6"/>
      <c r="N15" s="6"/>
    </row>
    <row r="16" spans="1:15" ht="39" customHeight="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2:15" hidden="1" x14ac:dyDescent="0.3">
      <c r="B17" s="2" t="s">
        <v>25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hidden="1" x14ac:dyDescent="0.3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2:15" x14ac:dyDescent="0.3">
      <c r="B19" s="10" t="s">
        <v>26</v>
      </c>
      <c r="C19" s="10"/>
      <c r="D19" s="10"/>
      <c r="E19" s="10"/>
      <c r="F19" s="10"/>
      <c r="J19" s="10" t="s">
        <v>34</v>
      </c>
      <c r="K19" s="10"/>
      <c r="L19" s="10"/>
      <c r="M19" s="10"/>
      <c r="N19" s="10"/>
    </row>
    <row r="20" spans="2:15" x14ac:dyDescent="0.3">
      <c r="D20" s="4" t="s">
        <v>27</v>
      </c>
      <c r="E20" s="4" t="s">
        <v>28</v>
      </c>
      <c r="F20" s="4" t="s">
        <v>29</v>
      </c>
      <c r="L20" s="4" t="s">
        <v>27</v>
      </c>
      <c r="M20" s="4" t="s">
        <v>28</v>
      </c>
      <c r="N20" s="4" t="s">
        <v>29</v>
      </c>
    </row>
    <row r="21" spans="2:15" x14ac:dyDescent="0.3">
      <c r="B21" t="s">
        <v>20</v>
      </c>
      <c r="D21" s="27">
        <f>SUM(E21*I7)</f>
        <v>1000</v>
      </c>
      <c r="E21">
        <f>M5</f>
        <v>4</v>
      </c>
      <c r="F21" s="31">
        <f>D21/$D$27</f>
        <v>0.39215686274509803</v>
      </c>
      <c r="J21" t="s">
        <v>35</v>
      </c>
      <c r="L21" s="29">
        <f>D8</f>
        <v>500</v>
      </c>
      <c r="M21">
        <f>SUM(L21/$I$7)</f>
        <v>2</v>
      </c>
      <c r="N21" s="31">
        <f>L21/$L$27</f>
        <v>0.19607843137254902</v>
      </c>
    </row>
    <row r="22" spans="2:15" x14ac:dyDescent="0.3">
      <c r="B22" t="s">
        <v>30</v>
      </c>
      <c r="D22" s="27">
        <f>SUM(E22*I7)</f>
        <v>500</v>
      </c>
      <c r="E22">
        <f>M6</f>
        <v>2</v>
      </c>
      <c r="F22" s="31">
        <f>D22/$D$27</f>
        <v>0.19607843137254902</v>
      </c>
      <c r="J22" t="s">
        <v>36</v>
      </c>
      <c r="L22" s="29">
        <f>D9</f>
        <v>2000</v>
      </c>
      <c r="M22">
        <f t="shared" ref="M22:M24" si="0">SUM(L22/$I$7)</f>
        <v>8</v>
      </c>
      <c r="N22" s="31">
        <f t="shared" ref="N22:N27" si="1">L22/$L$27</f>
        <v>0.78431372549019607</v>
      </c>
    </row>
    <row r="23" spans="2:15" x14ac:dyDescent="0.3">
      <c r="B23" s="22" t="s">
        <v>31</v>
      </c>
      <c r="C23" s="22"/>
      <c r="D23" s="28">
        <f>SUM(D21:D22)</f>
        <v>1500</v>
      </c>
      <c r="E23" s="26">
        <f>E21+E22</f>
        <v>6</v>
      </c>
      <c r="F23" s="36">
        <f t="shared" ref="F23:F27" si="2">D23/$D$27</f>
        <v>0.58823529411764708</v>
      </c>
      <c r="N23" s="31"/>
    </row>
    <row r="24" spans="2:15" x14ac:dyDescent="0.3">
      <c r="F24" s="31"/>
      <c r="J24" t="s">
        <v>37</v>
      </c>
      <c r="L24" s="29">
        <f>D11</f>
        <v>50</v>
      </c>
      <c r="M24">
        <f t="shared" si="0"/>
        <v>0.2</v>
      </c>
      <c r="N24" s="31">
        <f t="shared" si="1"/>
        <v>1.9607843137254902E-2</v>
      </c>
    </row>
    <row r="25" spans="2:15" x14ac:dyDescent="0.3">
      <c r="B25" t="s">
        <v>32</v>
      </c>
      <c r="D25" s="30">
        <f>D27-D23</f>
        <v>1050</v>
      </c>
      <c r="E25" s="30">
        <f>SUM(D25/I7)</f>
        <v>4.2</v>
      </c>
      <c r="F25" s="31">
        <f t="shared" si="2"/>
        <v>0.41176470588235292</v>
      </c>
      <c r="N25" s="31"/>
    </row>
    <row r="26" spans="2:15" x14ac:dyDescent="0.3">
      <c r="F26" s="31"/>
      <c r="N26" s="31"/>
    </row>
    <row r="27" spans="2:15" x14ac:dyDescent="0.3">
      <c r="B27" s="23" t="s">
        <v>33</v>
      </c>
      <c r="C27" s="23"/>
      <c r="D27" s="33">
        <f>L27</f>
        <v>2550</v>
      </c>
      <c r="E27" s="34">
        <f>D27/I7</f>
        <v>10.199999999999999</v>
      </c>
      <c r="F27" s="35">
        <f t="shared" si="2"/>
        <v>1</v>
      </c>
      <c r="J27" s="23" t="s">
        <v>38</v>
      </c>
      <c r="K27" s="23"/>
      <c r="L27" s="33">
        <f>L21+L22+L24</f>
        <v>2550</v>
      </c>
      <c r="M27" s="34">
        <f>SUM(L27/I7)</f>
        <v>10.199999999999999</v>
      </c>
      <c r="N27" s="37">
        <f t="shared" si="1"/>
        <v>1</v>
      </c>
    </row>
    <row r="28" spans="2:15" x14ac:dyDescent="0.3">
      <c r="F28" s="31"/>
    </row>
    <row r="29" spans="2:15" x14ac:dyDescent="0.3">
      <c r="B29" s="2" t="s">
        <v>39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2:15" x14ac:dyDescent="0.3">
      <c r="B30" s="10" t="s">
        <v>40</v>
      </c>
      <c r="C30" s="10"/>
      <c r="D30" s="10"/>
      <c r="E30" s="10"/>
      <c r="F30" s="10"/>
      <c r="G30" s="10"/>
      <c r="H30" s="10"/>
      <c r="I30" s="10"/>
      <c r="J30" s="10" t="s">
        <v>46</v>
      </c>
      <c r="K30" s="10" t="s">
        <v>42</v>
      </c>
      <c r="L30" s="10" t="s">
        <v>43</v>
      </c>
      <c r="M30" s="10" t="s">
        <v>44</v>
      </c>
      <c r="N30" s="10" t="s">
        <v>45</v>
      </c>
      <c r="O30" s="10" t="s">
        <v>41</v>
      </c>
    </row>
    <row r="31" spans="2:15" x14ac:dyDescent="0.3">
      <c r="B31" t="s">
        <v>9</v>
      </c>
      <c r="J31" s="6">
        <f>I6</f>
        <v>1000</v>
      </c>
      <c r="K31" s="6">
        <f>SUM(J31*(1+K32))</f>
        <v>1070</v>
      </c>
      <c r="L31" s="6">
        <f t="shared" ref="L31:O31" si="3">SUM(K31*(1+L32))</f>
        <v>1144.9000000000001</v>
      </c>
      <c r="M31" s="6">
        <f t="shared" si="3"/>
        <v>1225.0430000000001</v>
      </c>
      <c r="N31" s="6">
        <f t="shared" si="3"/>
        <v>1310.7960100000003</v>
      </c>
      <c r="O31" s="6">
        <f t="shared" si="3"/>
        <v>1402.5517307000005</v>
      </c>
    </row>
    <row r="32" spans="2:15" s="38" customFormat="1" x14ac:dyDescent="0.3">
      <c r="B32" s="38" t="s">
        <v>47</v>
      </c>
      <c r="J32" s="39"/>
      <c r="K32" s="40">
        <f>$I$13</f>
        <v>7.0000000000000007E-2</v>
      </c>
      <c r="L32" s="40">
        <f t="shared" ref="L32:N32" si="4">$I$13</f>
        <v>7.0000000000000007E-2</v>
      </c>
      <c r="M32" s="40">
        <f t="shared" si="4"/>
        <v>7.0000000000000007E-2</v>
      </c>
      <c r="N32" s="40">
        <f t="shared" si="4"/>
        <v>7.0000000000000007E-2</v>
      </c>
      <c r="O32" s="40">
        <f>$I$13</f>
        <v>7.0000000000000007E-2</v>
      </c>
    </row>
    <row r="33" spans="2:15" x14ac:dyDescent="0.3">
      <c r="J33" s="6"/>
      <c r="K33" s="6"/>
      <c r="L33" s="6"/>
      <c r="M33" s="6"/>
      <c r="N33" s="6"/>
      <c r="O33" s="6"/>
    </row>
    <row r="34" spans="2:15" x14ac:dyDescent="0.3">
      <c r="B34" t="s">
        <v>48</v>
      </c>
      <c r="J34" s="6">
        <f>I7</f>
        <v>250</v>
      </c>
      <c r="K34" s="6">
        <f>K35*K31</f>
        <v>278.2</v>
      </c>
      <c r="L34" s="6">
        <f t="shared" ref="L34:O34" si="5">L35*L31</f>
        <v>309.12300000000005</v>
      </c>
      <c r="M34" s="6">
        <f t="shared" si="5"/>
        <v>343.01204000000007</v>
      </c>
      <c r="N34" s="6">
        <f t="shared" si="5"/>
        <v>380.13084290000012</v>
      </c>
      <c r="O34" s="6">
        <f t="shared" si="5"/>
        <v>420.76551921000021</v>
      </c>
    </row>
    <row r="35" spans="2:15" s="38" customFormat="1" x14ac:dyDescent="0.3">
      <c r="B35" s="38" t="s">
        <v>52</v>
      </c>
      <c r="I35" s="38" t="s">
        <v>54</v>
      </c>
      <c r="J35" s="40">
        <f>J34/J31</f>
        <v>0.25</v>
      </c>
      <c r="K35" s="40">
        <f>J35+$I$14</f>
        <v>0.26</v>
      </c>
      <c r="L35" s="40">
        <f t="shared" ref="L35:O35" si="6">K35+$I$14</f>
        <v>0.27</v>
      </c>
      <c r="M35" s="40">
        <f t="shared" si="6"/>
        <v>0.28000000000000003</v>
      </c>
      <c r="N35" s="40">
        <f t="shared" si="6"/>
        <v>0.29000000000000004</v>
      </c>
      <c r="O35" s="40">
        <f t="shared" si="6"/>
        <v>0.30000000000000004</v>
      </c>
    </row>
    <row r="36" spans="2:15" x14ac:dyDescent="0.3">
      <c r="J36" s="6"/>
      <c r="K36" s="6"/>
      <c r="L36" s="6"/>
      <c r="M36" s="6"/>
      <c r="N36" s="6"/>
      <c r="O36" s="6"/>
    </row>
    <row r="37" spans="2:15" x14ac:dyDescent="0.3">
      <c r="B37" t="s">
        <v>51</v>
      </c>
      <c r="J37" s="6">
        <f>I7-I8</f>
        <v>200</v>
      </c>
      <c r="K37" s="6">
        <f>K34-K52</f>
        <v>224.7</v>
      </c>
      <c r="L37" s="6">
        <f t="shared" ref="L37:O37" si="7">L34-L52</f>
        <v>251.87800000000004</v>
      </c>
      <c r="M37" s="6">
        <f t="shared" si="7"/>
        <v>281.75989000000004</v>
      </c>
      <c r="N37" s="6">
        <f t="shared" si="7"/>
        <v>314.59104240000011</v>
      </c>
      <c r="O37" s="6">
        <f t="shared" si="7"/>
        <v>350.63793267500017</v>
      </c>
    </row>
    <row r="38" spans="2:15" s="38" customFormat="1" x14ac:dyDescent="0.3">
      <c r="B38" s="38" t="s">
        <v>52</v>
      </c>
      <c r="J38" s="43">
        <f>J37/J31</f>
        <v>0.2</v>
      </c>
      <c r="K38" s="43">
        <f>K37/K31</f>
        <v>0.21</v>
      </c>
      <c r="L38" s="43">
        <f t="shared" ref="L38:O38" si="8">L37/L31</f>
        <v>0.22000000000000003</v>
      </c>
      <c r="M38" s="43">
        <f t="shared" si="8"/>
        <v>0.23</v>
      </c>
      <c r="N38" s="43">
        <f t="shared" si="8"/>
        <v>0.24000000000000005</v>
      </c>
      <c r="O38" s="43">
        <f t="shared" si="8"/>
        <v>0.25000000000000006</v>
      </c>
    </row>
    <row r="39" spans="2:15" s="38" customFormat="1" x14ac:dyDescent="0.3">
      <c r="J39" s="43"/>
      <c r="K39" s="43"/>
      <c r="L39" s="43"/>
      <c r="M39" s="43"/>
      <c r="N39" s="43"/>
      <c r="O39" s="43"/>
    </row>
    <row r="40" spans="2:15" s="38" customFormat="1" x14ac:dyDescent="0.3">
      <c r="B40" s="38" t="s">
        <v>60</v>
      </c>
      <c r="K40" s="52">
        <f>K88</f>
        <v>120</v>
      </c>
      <c r="L40" s="52">
        <f>L88</f>
        <v>117.06222</v>
      </c>
      <c r="M40" s="52">
        <f>M88</f>
        <v>112.838702028</v>
      </c>
      <c r="N40" s="52">
        <f>N88</f>
        <v>107.15026021812719</v>
      </c>
      <c r="O40" s="52">
        <f>O88</f>
        <v>99.798279217706408</v>
      </c>
    </row>
    <row r="41" spans="2:15" x14ac:dyDescent="0.3">
      <c r="J41" s="6"/>
      <c r="K41" s="6"/>
      <c r="L41" s="6"/>
      <c r="M41" s="6"/>
      <c r="N41" s="6"/>
      <c r="O41" s="6"/>
    </row>
    <row r="42" spans="2:15" x14ac:dyDescent="0.3">
      <c r="B42" t="s">
        <v>49</v>
      </c>
      <c r="J42" s="13"/>
      <c r="K42" s="13">
        <f>K37-K40</f>
        <v>104.69999999999999</v>
      </c>
      <c r="L42" s="13">
        <f t="shared" ref="L42:O42" si="9">L37-L40</f>
        <v>134.81578000000005</v>
      </c>
      <c r="M42" s="13">
        <f t="shared" si="9"/>
        <v>168.92118797200004</v>
      </c>
      <c r="N42" s="13">
        <f t="shared" si="9"/>
        <v>207.44078218187292</v>
      </c>
      <c r="O42" s="13">
        <f t="shared" si="9"/>
        <v>250.83965345729376</v>
      </c>
    </row>
    <row r="43" spans="2:15" s="38" customFormat="1" x14ac:dyDescent="0.3">
      <c r="B43" s="38" t="s">
        <v>52</v>
      </c>
      <c r="J43" s="39"/>
      <c r="K43" s="43">
        <f>K42/K31</f>
        <v>9.785046728971962E-2</v>
      </c>
      <c r="L43" s="43">
        <f t="shared" ref="L43:O43" si="10">L42/L31</f>
        <v>0.11775332343436111</v>
      </c>
      <c r="M43" s="43">
        <f t="shared" si="10"/>
        <v>0.13789000710342414</v>
      </c>
      <c r="N43" s="43">
        <f t="shared" si="10"/>
        <v>0.1582555795099444</v>
      </c>
      <c r="O43" s="43">
        <f t="shared" si="10"/>
        <v>0.17884520618152319</v>
      </c>
    </row>
    <row r="44" spans="2:15" x14ac:dyDescent="0.3">
      <c r="J44" s="6"/>
      <c r="K44" s="6"/>
      <c r="L44" s="6"/>
      <c r="M44" s="6"/>
      <c r="N44" s="6"/>
      <c r="O44" s="6"/>
    </row>
    <row r="45" spans="2:15" x14ac:dyDescent="0.3">
      <c r="B45" t="s">
        <v>50</v>
      </c>
      <c r="J45" s="7"/>
      <c r="K45" s="6">
        <f>K42*K46</f>
        <v>21.986999999999998</v>
      </c>
      <c r="L45" s="6">
        <f t="shared" ref="L45:O45" si="11">L42*L46</f>
        <v>28.311313800000008</v>
      </c>
      <c r="M45" s="6">
        <f t="shared" si="11"/>
        <v>35.473449474120009</v>
      </c>
      <c r="N45" s="6">
        <f t="shared" si="11"/>
        <v>43.562564258193312</v>
      </c>
      <c r="O45" s="6">
        <f t="shared" si="11"/>
        <v>52.676327226031688</v>
      </c>
    </row>
    <row r="46" spans="2:15" s="38" customFormat="1" x14ac:dyDescent="0.3">
      <c r="B46" s="38" t="s">
        <v>53</v>
      </c>
      <c r="J46" s="40">
        <f>$I$15</f>
        <v>0.21</v>
      </c>
      <c r="K46" s="40">
        <f t="shared" ref="K46:O46" si="12">$I$15</f>
        <v>0.21</v>
      </c>
      <c r="L46" s="40">
        <f t="shared" si="12"/>
        <v>0.21</v>
      </c>
      <c r="M46" s="40">
        <f t="shared" si="12"/>
        <v>0.21</v>
      </c>
      <c r="N46" s="40">
        <f t="shared" si="12"/>
        <v>0.21</v>
      </c>
      <c r="O46" s="40">
        <f t="shared" si="12"/>
        <v>0.21</v>
      </c>
    </row>
    <row r="47" spans="2:15" s="38" customFormat="1" x14ac:dyDescent="0.3">
      <c r="J47" s="40"/>
      <c r="K47" s="40"/>
      <c r="L47" s="40"/>
      <c r="M47" s="40"/>
      <c r="N47" s="40"/>
      <c r="O47" s="40"/>
    </row>
    <row r="48" spans="2:15" s="38" customFormat="1" x14ac:dyDescent="0.3">
      <c r="B48" t="s">
        <v>61</v>
      </c>
      <c r="J48" s="40"/>
      <c r="K48" s="44">
        <f>K42-K45</f>
        <v>82.712999999999994</v>
      </c>
      <c r="L48" s="44">
        <f t="shared" ref="L48:O48" si="13">L42-L45</f>
        <v>106.50446620000004</v>
      </c>
      <c r="M48" s="44">
        <f t="shared" si="13"/>
        <v>133.44773849788004</v>
      </c>
      <c r="N48" s="44">
        <f t="shared" si="13"/>
        <v>163.87821792367961</v>
      </c>
      <c r="O48" s="44">
        <f t="shared" si="13"/>
        <v>198.16332623126209</v>
      </c>
    </row>
    <row r="49" spans="2:15" x14ac:dyDescent="0.3">
      <c r="B49" t="s">
        <v>56</v>
      </c>
      <c r="J49" s="6"/>
      <c r="K49" s="41">
        <f>K48/K31</f>
        <v>7.7301869158878503E-2</v>
      </c>
      <c r="L49" s="41">
        <f t="shared" ref="L49:O49" si="14">L48/L31</f>
        <v>9.3025125513145276E-2</v>
      </c>
      <c r="M49" s="41">
        <f t="shared" si="14"/>
        <v>0.10893310561170508</v>
      </c>
      <c r="N49" s="41">
        <f t="shared" si="14"/>
        <v>0.12502190781285608</v>
      </c>
      <c r="O49" s="41">
        <f t="shared" si="14"/>
        <v>0.14128771288340333</v>
      </c>
    </row>
    <row r="50" spans="2:15" x14ac:dyDescent="0.3">
      <c r="J50" s="6"/>
      <c r="K50" s="6"/>
      <c r="L50" s="6"/>
      <c r="M50" s="6"/>
      <c r="N50" s="6"/>
      <c r="O50" s="6"/>
    </row>
    <row r="51" spans="2:15" x14ac:dyDescent="0.3">
      <c r="B51" s="10" t="s">
        <v>55</v>
      </c>
      <c r="C51" s="10"/>
      <c r="D51" s="10"/>
      <c r="E51" s="10"/>
      <c r="F51" s="10"/>
      <c r="G51" s="10"/>
      <c r="H51" s="10"/>
      <c r="I51" s="10"/>
      <c r="J51" s="10" t="s">
        <v>46</v>
      </c>
      <c r="K51" s="10" t="s">
        <v>42</v>
      </c>
      <c r="L51" s="10" t="s">
        <v>43</v>
      </c>
      <c r="M51" s="10" t="s">
        <v>44</v>
      </c>
      <c r="N51" s="10" t="s">
        <v>45</v>
      </c>
      <c r="O51" s="10" t="s">
        <v>41</v>
      </c>
    </row>
    <row r="52" spans="2:15" x14ac:dyDescent="0.3">
      <c r="B52" t="s">
        <v>11</v>
      </c>
      <c r="J52" s="6">
        <f>I8</f>
        <v>50</v>
      </c>
      <c r="K52" s="6">
        <f>SUM(K53*K31)</f>
        <v>53.5</v>
      </c>
      <c r="L52" s="6">
        <f t="shared" ref="L52:O52" si="15">SUM(L53*L31)</f>
        <v>57.245000000000005</v>
      </c>
      <c r="M52" s="6">
        <f t="shared" si="15"/>
        <v>61.252150000000007</v>
      </c>
      <c r="N52" s="6">
        <f t="shared" si="15"/>
        <v>65.539800500000013</v>
      </c>
      <c r="O52" s="6">
        <f t="shared" si="15"/>
        <v>70.12758653500002</v>
      </c>
    </row>
    <row r="53" spans="2:15" x14ac:dyDescent="0.3">
      <c r="B53" t="s">
        <v>56</v>
      </c>
      <c r="J53" s="42">
        <f>$J$52/$J$31</f>
        <v>0.05</v>
      </c>
      <c r="K53" s="42">
        <f t="shared" ref="K53:O53" si="16">$J$52/$J$31</f>
        <v>0.05</v>
      </c>
      <c r="L53" s="42">
        <f t="shared" si="16"/>
        <v>0.05</v>
      </c>
      <c r="M53" s="42">
        <f t="shared" si="16"/>
        <v>0.05</v>
      </c>
      <c r="N53" s="42">
        <f t="shared" si="16"/>
        <v>0.05</v>
      </c>
      <c r="O53" s="42">
        <f t="shared" si="16"/>
        <v>0.05</v>
      </c>
    </row>
    <row r="54" spans="2:15" x14ac:dyDescent="0.3">
      <c r="J54" s="6"/>
      <c r="K54" s="6"/>
      <c r="L54" s="6"/>
      <c r="M54" s="6"/>
      <c r="N54" s="6"/>
      <c r="O54" s="6"/>
    </row>
    <row r="55" spans="2:15" x14ac:dyDescent="0.3">
      <c r="B55" t="s">
        <v>57</v>
      </c>
      <c r="J55" s="6">
        <f>I10</f>
        <v>100</v>
      </c>
      <c r="K55" s="6">
        <f>K56*K31</f>
        <v>107</v>
      </c>
      <c r="L55" s="6">
        <f t="shared" ref="L55:O55" si="17">L56*L31</f>
        <v>114.49000000000001</v>
      </c>
      <c r="M55" s="6">
        <f t="shared" si="17"/>
        <v>122.50430000000001</v>
      </c>
      <c r="N55" s="6">
        <f t="shared" si="17"/>
        <v>131.07960100000003</v>
      </c>
      <c r="O55" s="6">
        <f t="shared" si="17"/>
        <v>140.25517307000004</v>
      </c>
    </row>
    <row r="56" spans="2:15" x14ac:dyDescent="0.3">
      <c r="B56" t="s">
        <v>52</v>
      </c>
      <c r="J56" s="41">
        <f>$J$55/$J$31</f>
        <v>0.1</v>
      </c>
      <c r="K56" s="41">
        <f t="shared" ref="K56:O56" si="18">$J$55/$J$31</f>
        <v>0.1</v>
      </c>
      <c r="L56" s="41">
        <f t="shared" si="18"/>
        <v>0.1</v>
      </c>
      <c r="M56" s="41">
        <f t="shared" si="18"/>
        <v>0.1</v>
      </c>
      <c r="N56" s="41">
        <f t="shared" si="18"/>
        <v>0.1</v>
      </c>
      <c r="O56" s="41">
        <f t="shared" si="18"/>
        <v>0.1</v>
      </c>
    </row>
    <row r="57" spans="2:15" x14ac:dyDescent="0.3">
      <c r="B57" t="s">
        <v>58</v>
      </c>
      <c r="J57" s="6"/>
      <c r="K57" s="6">
        <f>K55-J55</f>
        <v>7</v>
      </c>
      <c r="L57" s="6">
        <f t="shared" ref="L57:O57" si="19">L55-K55</f>
        <v>7.4900000000000091</v>
      </c>
      <c r="M57" s="6">
        <f t="shared" si="19"/>
        <v>8.0143000000000058</v>
      </c>
      <c r="N57" s="6">
        <f t="shared" si="19"/>
        <v>8.5753010000000103</v>
      </c>
      <c r="O57" s="6">
        <f t="shared" si="19"/>
        <v>9.1755720700000154</v>
      </c>
    </row>
    <row r="58" spans="2:15" x14ac:dyDescent="0.3">
      <c r="J58" s="6"/>
      <c r="K58" s="6"/>
      <c r="L58" s="6"/>
      <c r="M58" s="6"/>
      <c r="N58" s="6"/>
      <c r="O58" s="6"/>
    </row>
    <row r="59" spans="2:15" x14ac:dyDescent="0.3">
      <c r="B59" t="s">
        <v>59</v>
      </c>
      <c r="J59" s="6">
        <f>I9</f>
        <v>75</v>
      </c>
      <c r="K59" s="6">
        <f>SUM(K60*K31)</f>
        <v>80.25</v>
      </c>
      <c r="L59" s="6">
        <f t="shared" ref="L59:O59" si="20">SUM(L60*L31)</f>
        <v>85.867500000000007</v>
      </c>
      <c r="M59" s="6">
        <f t="shared" si="20"/>
        <v>91.878225</v>
      </c>
      <c r="N59" s="6">
        <f t="shared" si="20"/>
        <v>98.309700750000019</v>
      </c>
      <c r="O59" s="6">
        <f t="shared" si="20"/>
        <v>105.19137980250004</v>
      </c>
    </row>
    <row r="60" spans="2:15" x14ac:dyDescent="0.3">
      <c r="B60" t="s">
        <v>56</v>
      </c>
      <c r="J60" s="41">
        <f>$J$59/$J$31</f>
        <v>7.4999999999999997E-2</v>
      </c>
      <c r="K60" s="41">
        <f>$J$59/$J$31</f>
        <v>7.4999999999999997E-2</v>
      </c>
      <c r="L60" s="41">
        <f t="shared" ref="L60:O60" si="21">$J$59/$J$31</f>
        <v>7.4999999999999997E-2</v>
      </c>
      <c r="M60" s="41">
        <f t="shared" si="21"/>
        <v>7.4999999999999997E-2</v>
      </c>
      <c r="N60" s="41">
        <f t="shared" si="21"/>
        <v>7.4999999999999997E-2</v>
      </c>
      <c r="O60" s="41">
        <f t="shared" si="21"/>
        <v>7.4999999999999997E-2</v>
      </c>
    </row>
    <row r="61" spans="2:15" x14ac:dyDescent="0.3">
      <c r="J61" s="6"/>
      <c r="K61" s="6"/>
      <c r="L61" s="6"/>
      <c r="M61" s="6"/>
      <c r="N61" s="6"/>
      <c r="O61" s="6"/>
    </row>
    <row r="62" spans="2:15" x14ac:dyDescent="0.3">
      <c r="J62" s="6"/>
      <c r="K62" s="6"/>
      <c r="L62" s="6"/>
      <c r="M62" s="6"/>
      <c r="N62" s="6"/>
      <c r="O62" s="6"/>
    </row>
    <row r="63" spans="2:15" x14ac:dyDescent="0.3">
      <c r="B63" s="10" t="s">
        <v>62</v>
      </c>
      <c r="C63" s="10"/>
      <c r="D63" s="10"/>
      <c r="E63" s="10"/>
      <c r="F63" s="10"/>
      <c r="G63" s="10"/>
      <c r="H63" s="10"/>
      <c r="I63" s="10"/>
      <c r="J63" s="10" t="s">
        <v>46</v>
      </c>
      <c r="K63" s="10" t="s">
        <v>42</v>
      </c>
      <c r="L63" s="10" t="s">
        <v>43</v>
      </c>
      <c r="M63" s="10" t="s">
        <v>44</v>
      </c>
      <c r="N63" s="10" t="s">
        <v>45</v>
      </c>
      <c r="O63" s="10" t="s">
        <v>41</v>
      </c>
    </row>
    <row r="64" spans="2:15" x14ac:dyDescent="0.3">
      <c r="B64" t="s">
        <v>61</v>
      </c>
      <c r="J64" s="6"/>
      <c r="K64" s="13">
        <f>K48</f>
        <v>82.712999999999994</v>
      </c>
      <c r="L64" s="13">
        <f t="shared" ref="L64:O64" si="22">L48</f>
        <v>106.50446620000004</v>
      </c>
      <c r="M64" s="13">
        <f t="shared" si="22"/>
        <v>133.44773849788004</v>
      </c>
      <c r="N64" s="13">
        <f t="shared" si="22"/>
        <v>163.87821792367961</v>
      </c>
      <c r="O64" s="13">
        <f t="shared" si="22"/>
        <v>198.16332623126209</v>
      </c>
    </row>
    <row r="65" spans="2:15" x14ac:dyDescent="0.3">
      <c r="B65" t="s">
        <v>11</v>
      </c>
      <c r="J65" s="6"/>
      <c r="K65" s="6">
        <f>K52</f>
        <v>53.5</v>
      </c>
      <c r="L65" s="6">
        <f t="shared" ref="L65:O65" si="23">L52</f>
        <v>57.245000000000005</v>
      </c>
      <c r="M65" s="6">
        <f t="shared" si="23"/>
        <v>61.252150000000007</v>
      </c>
      <c r="N65" s="6">
        <f t="shared" si="23"/>
        <v>65.539800500000013</v>
      </c>
      <c r="O65" s="6">
        <f t="shared" si="23"/>
        <v>70.12758653500002</v>
      </c>
    </row>
    <row r="66" spans="2:15" x14ac:dyDescent="0.3">
      <c r="B66" t="s">
        <v>63</v>
      </c>
      <c r="J66" s="6"/>
      <c r="K66" s="6">
        <f>K59</f>
        <v>80.25</v>
      </c>
      <c r="L66" s="6">
        <f t="shared" ref="L66:O66" si="24">L59</f>
        <v>85.867500000000007</v>
      </c>
      <c r="M66" s="6">
        <f t="shared" si="24"/>
        <v>91.878225</v>
      </c>
      <c r="N66" s="6">
        <f t="shared" si="24"/>
        <v>98.309700750000019</v>
      </c>
      <c r="O66" s="6">
        <f t="shared" si="24"/>
        <v>105.19137980250004</v>
      </c>
    </row>
    <row r="67" spans="2:15" x14ac:dyDescent="0.3">
      <c r="B67" t="s">
        <v>64</v>
      </c>
      <c r="J67" s="6"/>
      <c r="K67" s="6">
        <f>K57</f>
        <v>7</v>
      </c>
      <c r="L67" s="6">
        <f t="shared" ref="L67:O67" si="25">L57</f>
        <v>7.4900000000000091</v>
      </c>
      <c r="M67" s="6">
        <f t="shared" si="25"/>
        <v>8.0143000000000058</v>
      </c>
      <c r="N67" s="6">
        <f t="shared" si="25"/>
        <v>8.5753010000000103</v>
      </c>
      <c r="O67" s="6">
        <f t="shared" si="25"/>
        <v>9.1755720700000154</v>
      </c>
    </row>
    <row r="68" spans="2:15" ht="15" thickBot="1" x14ac:dyDescent="0.35">
      <c r="B68" s="45" t="s">
        <v>62</v>
      </c>
      <c r="C68" s="45"/>
      <c r="D68" s="45"/>
      <c r="E68" s="45"/>
      <c r="F68" s="45"/>
      <c r="G68" s="45"/>
      <c r="H68" s="45"/>
      <c r="I68" s="45"/>
      <c r="J68" s="45"/>
      <c r="K68" s="46">
        <f>K64+K65-K66-K67</f>
        <v>48.962999999999994</v>
      </c>
      <c r="L68" s="46">
        <f t="shared" ref="L68:O68" si="26">L64+L65-L66-L67</f>
        <v>70.391966200000013</v>
      </c>
      <c r="M68" s="46">
        <f t="shared" si="26"/>
        <v>94.807363497880033</v>
      </c>
      <c r="N68" s="46">
        <f t="shared" si="26"/>
        <v>122.5330166736796</v>
      </c>
      <c r="O68" s="46">
        <f t="shared" si="26"/>
        <v>153.92396089376209</v>
      </c>
    </row>
    <row r="69" spans="2:15" x14ac:dyDescent="0.3">
      <c r="J69" s="6"/>
      <c r="K69" s="6"/>
      <c r="L69" s="6"/>
      <c r="M69" s="6"/>
      <c r="N69" s="6"/>
      <c r="O69" s="6"/>
    </row>
    <row r="70" spans="2:15" x14ac:dyDescent="0.3">
      <c r="B70" s="2" t="s">
        <v>65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2:15" x14ac:dyDescent="0.3">
      <c r="B71" s="10"/>
      <c r="C71" s="10"/>
      <c r="D71" s="10"/>
      <c r="E71" s="10"/>
      <c r="F71" s="10"/>
      <c r="G71" s="10"/>
      <c r="H71" s="10"/>
      <c r="I71" s="10"/>
      <c r="J71" s="10" t="s">
        <v>46</v>
      </c>
      <c r="K71" s="10" t="s">
        <v>42</v>
      </c>
      <c r="L71" s="10" t="s">
        <v>43</v>
      </c>
      <c r="M71" s="10" t="s">
        <v>44</v>
      </c>
      <c r="N71" s="10" t="s">
        <v>45</v>
      </c>
      <c r="O71" s="10" t="s">
        <v>41</v>
      </c>
    </row>
    <row r="72" spans="2:15" x14ac:dyDescent="0.3">
      <c r="B72" s="21" t="s">
        <v>20</v>
      </c>
      <c r="J72" s="6"/>
      <c r="K72" s="6"/>
      <c r="L72" s="6"/>
      <c r="M72" s="6"/>
      <c r="N72" s="6"/>
      <c r="O72" s="6"/>
    </row>
    <row r="73" spans="2:15" x14ac:dyDescent="0.3">
      <c r="B73" t="s">
        <v>66</v>
      </c>
      <c r="K73" s="30">
        <f>J76</f>
        <v>1000</v>
      </c>
      <c r="L73" s="30">
        <f t="shared" ref="L73:O73" si="27">K76</f>
        <v>951.03700000000003</v>
      </c>
      <c r="M73" s="30">
        <f t="shared" si="27"/>
        <v>880.64503379999996</v>
      </c>
      <c r="N73" s="30">
        <f t="shared" si="27"/>
        <v>785.83767030211993</v>
      </c>
      <c r="O73" s="30">
        <f t="shared" si="27"/>
        <v>663.30465362844029</v>
      </c>
    </row>
    <row r="74" spans="2:15" x14ac:dyDescent="0.3">
      <c r="B74" t="s">
        <v>70</v>
      </c>
      <c r="K74" s="30">
        <f>K73*$N$5</f>
        <v>60</v>
      </c>
      <c r="L74" s="30">
        <f t="shared" ref="L74:O74" si="28">L73*$N$5</f>
        <v>57.062220000000003</v>
      </c>
      <c r="M74" s="30">
        <f t="shared" si="28"/>
        <v>52.838702027999993</v>
      </c>
      <c r="N74" s="30">
        <f t="shared" si="28"/>
        <v>47.150260218127194</v>
      </c>
      <c r="O74" s="30">
        <f t="shared" si="28"/>
        <v>39.798279217706416</v>
      </c>
    </row>
    <row r="75" spans="2:15" x14ac:dyDescent="0.3">
      <c r="B75" t="s">
        <v>67</v>
      </c>
      <c r="K75" s="30">
        <f>MIN(K73,K68)</f>
        <v>48.962999999999994</v>
      </c>
      <c r="L75" s="30">
        <f t="shared" ref="L75:O75" si="29">MIN(L73,L68)</f>
        <v>70.391966200000013</v>
      </c>
      <c r="M75" s="30">
        <f t="shared" si="29"/>
        <v>94.807363497880033</v>
      </c>
      <c r="N75" s="30">
        <f t="shared" si="29"/>
        <v>122.5330166736796</v>
      </c>
      <c r="O75" s="30">
        <f t="shared" si="29"/>
        <v>153.92396089376209</v>
      </c>
    </row>
    <row r="76" spans="2:15" s="21" customFormat="1" ht="15.6" customHeight="1" thickBot="1" x14ac:dyDescent="0.35">
      <c r="B76" s="49" t="s">
        <v>68</v>
      </c>
      <c r="C76" s="49"/>
      <c r="D76" s="49"/>
      <c r="E76" s="49"/>
      <c r="F76" s="49"/>
      <c r="G76" s="49"/>
      <c r="H76" s="49"/>
      <c r="I76" s="49"/>
      <c r="J76" s="50">
        <f>D21</f>
        <v>1000</v>
      </c>
      <c r="K76" s="50">
        <f>K73-K75</f>
        <v>951.03700000000003</v>
      </c>
      <c r="L76" s="50">
        <f t="shared" ref="L76:O76" si="30">L73-L75</f>
        <v>880.64503379999996</v>
      </c>
      <c r="M76" s="50">
        <f t="shared" si="30"/>
        <v>785.83767030211993</v>
      </c>
      <c r="N76" s="50">
        <f t="shared" si="30"/>
        <v>663.30465362844029</v>
      </c>
      <c r="O76" s="50">
        <f t="shared" si="30"/>
        <v>509.38069273467818</v>
      </c>
    </row>
    <row r="79" spans="2:15" x14ac:dyDescent="0.3">
      <c r="B79" s="21" t="s">
        <v>69</v>
      </c>
    </row>
    <row r="80" spans="2:15" x14ac:dyDescent="0.3">
      <c r="B80" t="s">
        <v>66</v>
      </c>
      <c r="I80" t="s">
        <v>54</v>
      </c>
      <c r="J80" s="30"/>
      <c r="K80" s="30">
        <f>J83</f>
        <v>500</v>
      </c>
      <c r="L80" s="30">
        <f t="shared" ref="L80:O80" si="31">K83</f>
        <v>500</v>
      </c>
      <c r="M80" s="30">
        <f t="shared" si="31"/>
        <v>500</v>
      </c>
      <c r="N80" s="30">
        <f t="shared" si="31"/>
        <v>500</v>
      </c>
      <c r="O80" s="30">
        <f t="shared" si="31"/>
        <v>500</v>
      </c>
    </row>
    <row r="81" spans="2:15" x14ac:dyDescent="0.3">
      <c r="B81" t="s">
        <v>70</v>
      </c>
      <c r="K81" s="30">
        <f>J83*$N$6</f>
        <v>60</v>
      </c>
      <c r="L81" s="30">
        <f t="shared" ref="L81:O81" si="32">K83*$N$6</f>
        <v>60</v>
      </c>
      <c r="M81" s="30">
        <f t="shared" si="32"/>
        <v>60</v>
      </c>
      <c r="N81" s="30">
        <f t="shared" si="32"/>
        <v>60</v>
      </c>
      <c r="O81" s="30">
        <f t="shared" si="32"/>
        <v>60</v>
      </c>
    </row>
    <row r="82" spans="2:15" x14ac:dyDescent="0.3">
      <c r="B82" t="s">
        <v>67</v>
      </c>
      <c r="K82" s="30">
        <f>MIN(K68,K68-K75)</f>
        <v>0</v>
      </c>
      <c r="L82" s="30">
        <f t="shared" ref="L82:O82" si="33">MIN(L68,L68-L75)</f>
        <v>0</v>
      </c>
      <c r="M82" s="30">
        <f t="shared" si="33"/>
        <v>0</v>
      </c>
      <c r="N82" s="30">
        <f t="shared" si="33"/>
        <v>0</v>
      </c>
      <c r="O82" s="30">
        <f t="shared" si="33"/>
        <v>0</v>
      </c>
    </row>
    <row r="83" spans="2:15" ht="15" thickBot="1" x14ac:dyDescent="0.35">
      <c r="B83" s="49" t="s">
        <v>68</v>
      </c>
      <c r="C83" s="49"/>
      <c r="D83" s="49"/>
      <c r="E83" s="49"/>
      <c r="F83" s="49"/>
      <c r="G83" s="49"/>
      <c r="H83" s="49"/>
      <c r="I83" s="49"/>
      <c r="J83" s="48">
        <f>D22</f>
        <v>500</v>
      </c>
      <c r="K83" s="50">
        <f>K80-K82</f>
        <v>500</v>
      </c>
      <c r="L83" s="50">
        <f t="shared" ref="L83:O83" si="34">L80-L82</f>
        <v>500</v>
      </c>
      <c r="M83" s="50">
        <f t="shared" si="34"/>
        <v>500</v>
      </c>
      <c r="N83" s="50">
        <f t="shared" si="34"/>
        <v>500</v>
      </c>
      <c r="O83" s="50">
        <f t="shared" si="34"/>
        <v>500</v>
      </c>
    </row>
    <row r="86" spans="2:15" x14ac:dyDescent="0.3">
      <c r="B86" s="21" t="s">
        <v>31</v>
      </c>
    </row>
    <row r="87" spans="2:15" x14ac:dyDescent="0.3">
      <c r="B87" t="s">
        <v>66</v>
      </c>
      <c r="K87" s="30">
        <f>K80+K73</f>
        <v>1500</v>
      </c>
      <c r="L87" s="30">
        <f t="shared" ref="L87:O87" si="35">L80+L73</f>
        <v>1451.037</v>
      </c>
      <c r="M87" s="30">
        <f t="shared" si="35"/>
        <v>1380.6450338</v>
      </c>
      <c r="N87" s="30">
        <f t="shared" si="35"/>
        <v>1285.8376703021199</v>
      </c>
      <c r="O87" s="30">
        <f t="shared" si="35"/>
        <v>1163.3046536284403</v>
      </c>
    </row>
    <row r="88" spans="2:15" x14ac:dyDescent="0.3">
      <c r="B88" t="s">
        <v>70</v>
      </c>
      <c r="K88" s="30">
        <f t="shared" ref="K88:O90" si="36">K81+K74</f>
        <v>120</v>
      </c>
      <c r="L88" s="30">
        <f t="shared" si="36"/>
        <v>117.06222</v>
      </c>
      <c r="M88" s="30">
        <f t="shared" si="36"/>
        <v>112.838702028</v>
      </c>
      <c r="N88" s="30">
        <f t="shared" si="36"/>
        <v>107.15026021812719</v>
      </c>
      <c r="O88" s="30">
        <f t="shared" si="36"/>
        <v>99.798279217706408</v>
      </c>
    </row>
    <row r="89" spans="2:15" x14ac:dyDescent="0.3">
      <c r="B89" t="s">
        <v>67</v>
      </c>
      <c r="K89" s="30">
        <f t="shared" si="36"/>
        <v>48.962999999999994</v>
      </c>
      <c r="L89" s="30">
        <f t="shared" si="36"/>
        <v>70.391966200000013</v>
      </c>
      <c r="M89" s="30">
        <f t="shared" si="36"/>
        <v>94.807363497880033</v>
      </c>
      <c r="N89" s="30">
        <f t="shared" si="36"/>
        <v>122.5330166736796</v>
      </c>
      <c r="O89" s="30">
        <f t="shared" si="36"/>
        <v>153.92396089376209</v>
      </c>
    </row>
    <row r="90" spans="2:15" ht="15" thickBot="1" x14ac:dyDescent="0.35">
      <c r="B90" s="49" t="s">
        <v>68</v>
      </c>
      <c r="C90" s="47"/>
      <c r="D90" s="47"/>
      <c r="E90" s="47"/>
      <c r="F90" s="47"/>
      <c r="G90" s="47"/>
      <c r="H90" s="47"/>
      <c r="I90" s="47"/>
      <c r="J90" s="48">
        <f>J76+J83</f>
        <v>1500</v>
      </c>
      <c r="K90" s="30">
        <f t="shared" si="36"/>
        <v>1451.037</v>
      </c>
      <c r="L90" s="30">
        <f t="shared" si="36"/>
        <v>1380.6450338</v>
      </c>
      <c r="M90" s="30">
        <f t="shared" si="36"/>
        <v>1285.8376703021199</v>
      </c>
      <c r="N90" s="30">
        <f t="shared" si="36"/>
        <v>1163.3046536284403</v>
      </c>
      <c r="O90" s="30">
        <f t="shared" si="36"/>
        <v>1009.3806927346782</v>
      </c>
    </row>
    <row r="92" spans="2:15" x14ac:dyDescent="0.3">
      <c r="B92" s="2" t="s">
        <v>71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2:15" x14ac:dyDescent="0.3">
      <c r="O93" s="6"/>
    </row>
    <row r="94" spans="2:15" x14ac:dyDescent="0.3">
      <c r="B94" t="s">
        <v>72</v>
      </c>
      <c r="O94" s="6">
        <f>O34</f>
        <v>420.76551921000021</v>
      </c>
    </row>
    <row r="95" spans="2:15" x14ac:dyDescent="0.3">
      <c r="B95" s="3" t="s">
        <v>73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9">
        <f>D14</f>
        <v>10</v>
      </c>
    </row>
    <row r="96" spans="2:15" x14ac:dyDescent="0.3">
      <c r="B96" t="s">
        <v>74</v>
      </c>
      <c r="O96" s="13">
        <f>O94*O95</f>
        <v>4207.6551921000018</v>
      </c>
    </row>
    <row r="97" spans="2:15" x14ac:dyDescent="0.3">
      <c r="B97" t="s">
        <v>75</v>
      </c>
      <c r="O97" s="13">
        <f>O90</f>
        <v>1009.3806927346782</v>
      </c>
    </row>
    <row r="98" spans="2:15" ht="15" thickBot="1" x14ac:dyDescent="0.35">
      <c r="B98" s="51" t="s">
        <v>76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3">
        <f>O96-O97</f>
        <v>3198.2744993653237</v>
      </c>
    </row>
    <row r="100" spans="2:15" x14ac:dyDescent="0.3">
      <c r="B100" t="s">
        <v>77</v>
      </c>
      <c r="O100" s="30">
        <f>D25</f>
        <v>1050</v>
      </c>
    </row>
    <row r="102" spans="2:15" x14ac:dyDescent="0.3">
      <c r="B102" s="23" t="s">
        <v>78</v>
      </c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54">
        <f>O98/O100</f>
        <v>3.0459757136812606</v>
      </c>
    </row>
    <row r="103" spans="2:15" x14ac:dyDescent="0.3">
      <c r="B103" s="23" t="s">
        <v>23</v>
      </c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32">
        <f>O102^(1/5)-1</f>
        <v>0.24952597107560948</v>
      </c>
    </row>
  </sheetData>
  <phoneticPr fontId="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Basquill</dc:creator>
  <cp:lastModifiedBy>Sean Basquill</cp:lastModifiedBy>
  <dcterms:created xsi:type="dcterms:W3CDTF">2024-09-16T12:44:35Z</dcterms:created>
  <dcterms:modified xsi:type="dcterms:W3CDTF">2024-09-16T15:04:30Z</dcterms:modified>
</cp:coreProperties>
</file>