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5c150732c7266b/Desktop/Finance/"/>
    </mc:Choice>
  </mc:AlternateContent>
  <xr:revisionPtr revIDLastSave="0" documentId="8_{9EB79356-B23F-446E-84F8-A07848C59D1C}" xr6:coauthVersionLast="47" xr6:coauthVersionMax="47" xr10:uidLastSave="{00000000-0000-0000-0000-000000000000}"/>
  <bookViews>
    <workbookView xWindow="-108" yWindow="-108" windowWidth="23256" windowHeight="12576" xr2:uid="{19DC6DBB-C9D0-4706-85BC-A0CC74B99EAF}"/>
  </bookViews>
  <sheets>
    <sheet name="DCF" sheetId="1" r:id="rId1"/>
    <sheet name="Segments" sheetId="2" r:id="rId2"/>
    <sheet name="CFS" sheetId="4" r:id="rId3"/>
    <sheet name="WACC" sheetId="5" r:id="rId4"/>
    <sheet name="Income statement" sheetId="3" r:id="rId5"/>
    <sheet name="Diluted Shares" sheetId="6" r:id="rId6"/>
  </sheets>
  <definedNames>
    <definedName name="TGR">DCF!$L$10</definedName>
    <definedName name="WACC">DCF!$L$9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Q104" i="1" s="1"/>
  <c r="L92" i="1"/>
  <c r="L93" i="1" s="1"/>
  <c r="B16" i="5"/>
  <c r="B19" i="5"/>
  <c r="B7" i="5" s="1"/>
  <c r="B8" i="5"/>
  <c r="C67" i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C64" i="1"/>
  <c r="D59" i="1"/>
  <c r="E59" i="1"/>
  <c r="F59" i="1"/>
  <c r="G59" i="1"/>
  <c r="H59" i="1"/>
  <c r="I59" i="1"/>
  <c r="J59" i="1"/>
  <c r="K59" i="1"/>
  <c r="L59" i="1"/>
  <c r="L83" i="1" s="1"/>
  <c r="C59" i="1"/>
  <c r="D62" i="1"/>
  <c r="E62" i="1"/>
  <c r="F62" i="1"/>
  <c r="G62" i="1"/>
  <c r="H62" i="1"/>
  <c r="I62" i="1"/>
  <c r="J62" i="1"/>
  <c r="K62" i="1"/>
  <c r="L62" i="1"/>
  <c r="L86" i="1" s="1"/>
  <c r="C62" i="1"/>
  <c r="D55" i="1"/>
  <c r="E55" i="1"/>
  <c r="F55" i="1"/>
  <c r="G55" i="1"/>
  <c r="H55" i="1"/>
  <c r="I55" i="1"/>
  <c r="J55" i="1"/>
  <c r="K55" i="1"/>
  <c r="L55" i="1"/>
  <c r="L80" i="1" s="1"/>
  <c r="C55" i="1"/>
  <c r="D50" i="1"/>
  <c r="D51" i="1" s="1"/>
  <c r="E50" i="1"/>
  <c r="E51" i="1" s="1"/>
  <c r="F50" i="1"/>
  <c r="F51" i="1" s="1"/>
  <c r="G50" i="1"/>
  <c r="G51" i="1" s="1"/>
  <c r="H50" i="1"/>
  <c r="H51" i="1" s="1"/>
  <c r="I50" i="1"/>
  <c r="I51" i="1" s="1"/>
  <c r="J50" i="1"/>
  <c r="J51" i="1" s="1"/>
  <c r="K50" i="1"/>
  <c r="K51" i="1" s="1"/>
  <c r="L50" i="1"/>
  <c r="L51" i="1" s="1"/>
  <c r="L76" i="1" s="1"/>
  <c r="C50" i="1"/>
  <c r="C51" i="1" s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N36" i="1"/>
  <c r="M36" i="1"/>
  <c r="L36" i="1"/>
  <c r="K36" i="1"/>
  <c r="J36" i="1"/>
  <c r="I36" i="1"/>
  <c r="H36" i="1"/>
  <c r="G36" i="1"/>
  <c r="F36" i="1"/>
  <c r="E36" i="1"/>
  <c r="D36" i="1"/>
  <c r="N32" i="1"/>
  <c r="M32" i="1"/>
  <c r="L32" i="1"/>
  <c r="K32" i="1"/>
  <c r="J32" i="1"/>
  <c r="I32" i="1"/>
  <c r="H32" i="1"/>
  <c r="G32" i="1"/>
  <c r="F32" i="1"/>
  <c r="E32" i="1"/>
  <c r="D32" i="1"/>
  <c r="C36" i="1"/>
  <c r="C40" i="1"/>
  <c r="C32" i="1"/>
  <c r="C15" i="1"/>
  <c r="C16" i="1" s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N19" i="1"/>
  <c r="O19" i="1"/>
  <c r="P19" i="1"/>
  <c r="Q19" i="1"/>
  <c r="N23" i="1"/>
  <c r="O23" i="1"/>
  <c r="P23" i="1"/>
  <c r="Q23" i="1"/>
  <c r="M19" i="1"/>
  <c r="M23" i="1"/>
  <c r="C19" i="1"/>
  <c r="C20" i="1" s="1"/>
  <c r="D19" i="1"/>
  <c r="E19" i="1"/>
  <c r="F19" i="1"/>
  <c r="G19" i="1"/>
  <c r="H19" i="1"/>
  <c r="I19" i="1"/>
  <c r="J19" i="1"/>
  <c r="K19" i="1"/>
  <c r="L19" i="1"/>
  <c r="C23" i="1"/>
  <c r="D23" i="1"/>
  <c r="E23" i="1"/>
  <c r="F23" i="1"/>
  <c r="G23" i="1"/>
  <c r="H23" i="1"/>
  <c r="I23" i="1"/>
  <c r="J23" i="1"/>
  <c r="K23" i="1"/>
  <c r="L23" i="1"/>
  <c r="M93" i="1" l="1"/>
  <c r="N93" i="1" s="1"/>
  <c r="O93" i="1" s="1"/>
  <c r="P93" i="1" s="1"/>
  <c r="Q93" i="1" s="1"/>
  <c r="B17" i="5"/>
  <c r="B15" i="5"/>
  <c r="M51" i="1"/>
  <c r="N51" i="1" s="1"/>
  <c r="N76" i="1" s="1"/>
  <c r="F57" i="1"/>
  <c r="C57" i="1"/>
  <c r="E57" i="1"/>
  <c r="L57" i="1"/>
  <c r="D57" i="1"/>
  <c r="G57" i="1"/>
  <c r="I57" i="1"/>
  <c r="K57" i="1"/>
  <c r="H57" i="1"/>
  <c r="J57" i="1"/>
  <c r="K41" i="1"/>
  <c r="G33" i="1"/>
  <c r="J37" i="1"/>
  <c r="J33" i="1"/>
  <c r="I33" i="1"/>
  <c r="D41" i="1"/>
  <c r="L41" i="1"/>
  <c r="E44" i="1"/>
  <c r="E42" i="1" s="1"/>
  <c r="M44" i="1"/>
  <c r="M72" i="1" s="1"/>
  <c r="N41" i="1"/>
  <c r="M41" i="1"/>
  <c r="J44" i="1"/>
  <c r="J34" i="1" s="1"/>
  <c r="D37" i="1"/>
  <c r="L37" i="1"/>
  <c r="E41" i="1"/>
  <c r="F41" i="1"/>
  <c r="M33" i="1"/>
  <c r="G44" i="1"/>
  <c r="G42" i="1" s="1"/>
  <c r="E33" i="1"/>
  <c r="F33" i="1"/>
  <c r="N33" i="1"/>
  <c r="I37" i="1"/>
  <c r="H37" i="1"/>
  <c r="G41" i="1"/>
  <c r="O41" i="1"/>
  <c r="K33" i="1"/>
  <c r="H41" i="1"/>
  <c r="P41" i="1"/>
  <c r="D33" i="1"/>
  <c r="L33" i="1"/>
  <c r="I41" i="1"/>
  <c r="Q41" i="1"/>
  <c r="K37" i="1"/>
  <c r="J41" i="1"/>
  <c r="H33" i="1"/>
  <c r="F44" i="1"/>
  <c r="F42" i="1" s="1"/>
  <c r="N44" i="1"/>
  <c r="N72" i="1" s="1"/>
  <c r="H44" i="1"/>
  <c r="H42" i="1" s="1"/>
  <c r="I44" i="1"/>
  <c r="I42" i="1" s="1"/>
  <c r="E37" i="1"/>
  <c r="M37" i="1"/>
  <c r="K44" i="1"/>
  <c r="K42" i="1" s="1"/>
  <c r="F37" i="1"/>
  <c r="N37" i="1"/>
  <c r="O37" i="1" s="1"/>
  <c r="D44" i="1"/>
  <c r="D42" i="1" s="1"/>
  <c r="L44" i="1"/>
  <c r="L72" i="1" s="1"/>
  <c r="G37" i="1"/>
  <c r="C44" i="1"/>
  <c r="C33" i="1"/>
  <c r="C41" i="1"/>
  <c r="C37" i="1"/>
  <c r="M20" i="1"/>
  <c r="F24" i="1"/>
  <c r="Q24" i="1"/>
  <c r="E24" i="1"/>
  <c r="P24" i="1"/>
  <c r="Q16" i="1"/>
  <c r="I16" i="1"/>
  <c r="E20" i="1"/>
  <c r="M24" i="1"/>
  <c r="O24" i="1"/>
  <c r="H20" i="1"/>
  <c r="L24" i="1"/>
  <c r="D24" i="1"/>
  <c r="N24" i="1"/>
  <c r="D20" i="1"/>
  <c r="I24" i="1"/>
  <c r="K20" i="1"/>
  <c r="P20" i="1"/>
  <c r="M16" i="1"/>
  <c r="E16" i="1"/>
  <c r="H24" i="1"/>
  <c r="I20" i="1"/>
  <c r="K16" i="1"/>
  <c r="L20" i="1"/>
  <c r="J24" i="1"/>
  <c r="O20" i="1"/>
  <c r="L16" i="1"/>
  <c r="C24" i="1"/>
  <c r="K24" i="1"/>
  <c r="N20" i="1"/>
  <c r="F20" i="1"/>
  <c r="H16" i="1"/>
  <c r="G24" i="1"/>
  <c r="J20" i="1"/>
  <c r="Q20" i="1"/>
  <c r="D16" i="1"/>
  <c r="G20" i="1"/>
  <c r="J16" i="1"/>
  <c r="P16" i="1"/>
  <c r="O16" i="1"/>
  <c r="G16" i="1"/>
  <c r="N16" i="1"/>
  <c r="F16" i="1"/>
  <c r="E27" i="1"/>
  <c r="E63" i="1" s="1"/>
  <c r="O27" i="1"/>
  <c r="O69" i="1" s="1"/>
  <c r="K27" i="1"/>
  <c r="K56" i="1" s="1"/>
  <c r="H27" i="1"/>
  <c r="H56" i="1" s="1"/>
  <c r="G27" i="1"/>
  <c r="G56" i="1" s="1"/>
  <c r="L27" i="1"/>
  <c r="D27" i="1"/>
  <c r="M27" i="1"/>
  <c r="M69" i="1" s="1"/>
  <c r="Q27" i="1"/>
  <c r="Q69" i="1" s="1"/>
  <c r="P27" i="1"/>
  <c r="P69" i="1" s="1"/>
  <c r="I27" i="1"/>
  <c r="I60" i="1" s="1"/>
  <c r="N27" i="1"/>
  <c r="N69" i="1" s="1"/>
  <c r="F27" i="1"/>
  <c r="J27" i="1"/>
  <c r="C27" i="1"/>
  <c r="C60" i="1" s="1"/>
  <c r="B21" i="5" l="1"/>
  <c r="L9" i="1" s="1"/>
  <c r="O51" i="1"/>
  <c r="O76" i="1" s="1"/>
  <c r="M76" i="1"/>
  <c r="M75" i="1" s="1"/>
  <c r="M78" i="1" s="1"/>
  <c r="L69" i="1"/>
  <c r="L87" i="1"/>
  <c r="L84" i="1"/>
  <c r="L81" i="1"/>
  <c r="N75" i="1"/>
  <c r="N78" i="1" s="1"/>
  <c r="L75" i="1"/>
  <c r="L78" i="1" s="1"/>
  <c r="L89" i="1" s="1"/>
  <c r="L90" i="1" s="1"/>
  <c r="N42" i="1"/>
  <c r="M42" i="1"/>
  <c r="L42" i="1"/>
  <c r="Q25" i="1"/>
  <c r="N17" i="1"/>
  <c r="O17" i="1"/>
  <c r="J64" i="1"/>
  <c r="F64" i="1"/>
  <c r="I64" i="1"/>
  <c r="K64" i="1"/>
  <c r="E64" i="1"/>
  <c r="L56" i="1"/>
  <c r="L64" i="1"/>
  <c r="H64" i="1"/>
  <c r="G64" i="1"/>
  <c r="D64" i="1"/>
  <c r="D56" i="1"/>
  <c r="L63" i="1"/>
  <c r="D60" i="1"/>
  <c r="C56" i="1"/>
  <c r="C63" i="1"/>
  <c r="D63" i="1"/>
  <c r="J56" i="1"/>
  <c r="J63" i="1"/>
  <c r="F60" i="1"/>
  <c r="F63" i="1"/>
  <c r="G63" i="1"/>
  <c r="H63" i="1"/>
  <c r="I63" i="1"/>
  <c r="F56" i="1"/>
  <c r="K63" i="1"/>
  <c r="J60" i="1"/>
  <c r="E56" i="1"/>
  <c r="E60" i="1"/>
  <c r="L60" i="1"/>
  <c r="K60" i="1"/>
  <c r="G60" i="1"/>
  <c r="I56" i="1"/>
  <c r="H60" i="1"/>
  <c r="G17" i="1"/>
  <c r="K25" i="1"/>
  <c r="I25" i="1"/>
  <c r="J17" i="1"/>
  <c r="F17" i="1"/>
  <c r="C25" i="1"/>
  <c r="O33" i="1"/>
  <c r="J42" i="1"/>
  <c r="G34" i="1"/>
  <c r="H34" i="1"/>
  <c r="M34" i="1"/>
  <c r="E34" i="1"/>
  <c r="K34" i="1"/>
  <c r="C34" i="1"/>
  <c r="C42" i="1"/>
  <c r="K38" i="1"/>
  <c r="H38" i="1"/>
  <c r="E38" i="1"/>
  <c r="I34" i="1"/>
  <c r="I38" i="1"/>
  <c r="J38" i="1"/>
  <c r="L34" i="1"/>
  <c r="L38" i="1"/>
  <c r="G38" i="1"/>
  <c r="D34" i="1"/>
  <c r="D38" i="1"/>
  <c r="N34" i="1"/>
  <c r="N38" i="1"/>
  <c r="F34" i="1"/>
  <c r="F38" i="1"/>
  <c r="M38" i="1"/>
  <c r="N21" i="1"/>
  <c r="G25" i="1"/>
  <c r="C38" i="1"/>
  <c r="L17" i="1"/>
  <c r="L25" i="1"/>
  <c r="M17" i="1"/>
  <c r="M25" i="1"/>
  <c r="J25" i="1"/>
  <c r="H17" i="1"/>
  <c r="H25" i="1"/>
  <c r="N25" i="1"/>
  <c r="D17" i="1"/>
  <c r="D25" i="1"/>
  <c r="P17" i="1"/>
  <c r="P25" i="1"/>
  <c r="J21" i="1"/>
  <c r="O25" i="1"/>
  <c r="E17" i="1"/>
  <c r="E25" i="1"/>
  <c r="H21" i="1"/>
  <c r="F25" i="1"/>
  <c r="Q17" i="1"/>
  <c r="Q21" i="1"/>
  <c r="O21" i="1"/>
  <c r="D21" i="1"/>
  <c r="L21" i="1"/>
  <c r="E21" i="1"/>
  <c r="F21" i="1"/>
  <c r="I17" i="1"/>
  <c r="I21" i="1"/>
  <c r="K17" i="1"/>
  <c r="K21" i="1"/>
  <c r="G21" i="1"/>
  <c r="P21" i="1"/>
  <c r="M21" i="1"/>
  <c r="C21" i="1"/>
  <c r="C17" i="1"/>
  <c r="C28" i="1"/>
  <c r="P37" i="1"/>
  <c r="O36" i="1"/>
  <c r="E45" i="1"/>
  <c r="G45" i="1"/>
  <c r="M45" i="1"/>
  <c r="M73" i="1" s="1"/>
  <c r="F45" i="1"/>
  <c r="H45" i="1"/>
  <c r="J45" i="1"/>
  <c r="D45" i="1"/>
  <c r="I45" i="1"/>
  <c r="N45" i="1"/>
  <c r="N73" i="1" s="1"/>
  <c r="K45" i="1"/>
  <c r="C45" i="1"/>
  <c r="L45" i="1"/>
  <c r="L73" i="1" s="1"/>
  <c r="P28" i="1"/>
  <c r="P70" i="1" s="1"/>
  <c r="E28" i="1"/>
  <c r="L28" i="1"/>
  <c r="L70" i="1" s="1"/>
  <c r="J28" i="1"/>
  <c r="N28" i="1"/>
  <c r="N70" i="1" s="1"/>
  <c r="I28" i="1"/>
  <c r="O28" i="1"/>
  <c r="O70" i="1" s="1"/>
  <c r="Q28" i="1"/>
  <c r="Q70" i="1" s="1"/>
  <c r="G28" i="1"/>
  <c r="H28" i="1"/>
  <c r="F28" i="1"/>
  <c r="K28" i="1"/>
  <c r="M28" i="1"/>
  <c r="M70" i="1" s="1"/>
  <c r="D28" i="1"/>
  <c r="P51" i="1" l="1"/>
  <c r="P76" i="1" s="1"/>
  <c r="M63" i="1"/>
  <c r="M62" i="1" s="1"/>
  <c r="M86" i="1" s="1"/>
  <c r="M87" i="1" s="1"/>
  <c r="M60" i="1"/>
  <c r="M59" i="1" s="1"/>
  <c r="M83" i="1" s="1"/>
  <c r="M84" i="1" s="1"/>
  <c r="M56" i="1"/>
  <c r="O32" i="1"/>
  <c r="O44" i="1" s="1"/>
  <c r="O72" i="1" s="1"/>
  <c r="P33" i="1"/>
  <c r="Q37" i="1"/>
  <c r="Q36" i="1" s="1"/>
  <c r="P36" i="1"/>
  <c r="Q51" i="1" l="1"/>
  <c r="Q76" i="1" s="1"/>
  <c r="O75" i="1"/>
  <c r="O78" i="1" s="1"/>
  <c r="O42" i="1"/>
  <c r="N63" i="1"/>
  <c r="N62" i="1" s="1"/>
  <c r="N86" i="1" s="1"/>
  <c r="N87" i="1" s="1"/>
  <c r="N60" i="1"/>
  <c r="N59" i="1" s="1"/>
  <c r="N83" i="1" s="1"/>
  <c r="N84" i="1" s="1"/>
  <c r="N56" i="1"/>
  <c r="O56" i="1" s="1"/>
  <c r="O55" i="1" s="1"/>
  <c r="O80" i="1" s="1"/>
  <c r="O81" i="1" s="1"/>
  <c r="M55" i="1"/>
  <c r="M80" i="1" s="1"/>
  <c r="P32" i="1"/>
  <c r="P44" i="1" s="1"/>
  <c r="P72" i="1" s="1"/>
  <c r="Q33" i="1"/>
  <c r="O45" i="1"/>
  <c r="O73" i="1" s="1"/>
  <c r="O38" i="1"/>
  <c r="O34" i="1"/>
  <c r="M81" i="1" l="1"/>
  <c r="M89" i="1"/>
  <c r="M90" i="1" s="1"/>
  <c r="P75" i="1"/>
  <c r="P78" i="1" s="1"/>
  <c r="P42" i="1"/>
  <c r="O63" i="1"/>
  <c r="O62" i="1" s="1"/>
  <c r="O86" i="1" s="1"/>
  <c r="O87" i="1" s="1"/>
  <c r="O60" i="1"/>
  <c r="O59" i="1" s="1"/>
  <c r="O83" i="1" s="1"/>
  <c r="O84" i="1" s="1"/>
  <c r="N55" i="1"/>
  <c r="N80" i="1" s="1"/>
  <c r="P56" i="1"/>
  <c r="Q32" i="1"/>
  <c r="Q44" i="1" s="1"/>
  <c r="Q72" i="1" s="1"/>
  <c r="P45" i="1"/>
  <c r="P73" i="1" s="1"/>
  <c r="P38" i="1"/>
  <c r="P34" i="1"/>
  <c r="O89" i="1" l="1"/>
  <c r="O90" i="1" s="1"/>
  <c r="N81" i="1"/>
  <c r="N89" i="1"/>
  <c r="N90" i="1" s="1"/>
  <c r="Q75" i="1"/>
  <c r="Q78" i="1" s="1"/>
  <c r="Q42" i="1"/>
  <c r="P63" i="1"/>
  <c r="P62" i="1" s="1"/>
  <c r="P86" i="1" s="1"/>
  <c r="P87" i="1" s="1"/>
  <c r="P60" i="1"/>
  <c r="P59" i="1" s="1"/>
  <c r="P83" i="1" s="1"/>
  <c r="P84" i="1" s="1"/>
  <c r="Q56" i="1"/>
  <c r="Q55" i="1" s="1"/>
  <c r="Q80" i="1" s="1"/>
  <c r="Q81" i="1" s="1"/>
  <c r="P55" i="1"/>
  <c r="P80" i="1" s="1"/>
  <c r="P81" i="1" s="1"/>
  <c r="Q38" i="1"/>
  <c r="Q45" i="1"/>
  <c r="Q73" i="1" s="1"/>
  <c r="Q34" i="1"/>
  <c r="P89" i="1" l="1"/>
  <c r="P90" i="1" s="1"/>
  <c r="Q63" i="1"/>
  <c r="Q62" i="1" s="1"/>
  <c r="Q86" i="1" s="1"/>
  <c r="Q87" i="1" s="1"/>
  <c r="Q60" i="1"/>
  <c r="Q59" i="1" s="1"/>
  <c r="Q83" i="1" s="1"/>
  <c r="Q84" i="1" s="1"/>
  <c r="Q89" i="1" l="1"/>
  <c r="Q90" i="1" l="1"/>
  <c r="Q95" i="1"/>
  <c r="Q96" i="1" s="1"/>
  <c r="Q98" i="1" l="1"/>
  <c r="Q101" i="1" s="1"/>
  <c r="Q10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Sean</author>
  </authors>
  <commentList>
    <comment ref="Q99" authorId="0" shapeId="0" xr:uid="{D7A8D3A2-BE69-40D2-9327-26081D3964E4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2024 Q2 10Q</t>
        </r>
      </text>
    </comment>
    <comment ref="Q100" authorId="0" shapeId="0" xr:uid="{7FDCDB8E-BB27-47F6-A40E-0B8D7833AD69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2024 Q2 10Q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Sean</author>
  </authors>
  <commentList>
    <comment ref="E1" authorId="0" shapeId="0" xr:uid="{5C268B33-7CA3-4818-9752-7D6DC5C1A2FE}">
      <text>
        <r>
          <rPr>
            <b/>
            <sz val="9"/>
            <color indexed="81"/>
            <rFont val="Tahoma"/>
            <charset val="1"/>
          </rPr>
          <t>Sean:</t>
        </r>
        <r>
          <rPr>
            <sz val="9"/>
            <color indexed="81"/>
            <rFont val="Tahoma"/>
            <charset val="1"/>
          </rPr>
          <t xml:space="preserve">
Model found on Google</t>
        </r>
      </text>
    </comment>
    <comment ref="D11" authorId="0" shapeId="0" xr:uid="{41578A51-383E-4EED-97BC-B2D67EAA3480}">
      <text>
        <r>
          <rPr>
            <b/>
            <sz val="9"/>
            <color indexed="81"/>
            <rFont val="Tahoma"/>
            <charset val="1"/>
          </rPr>
          <t>Sean:</t>
        </r>
        <r>
          <rPr>
            <sz val="9"/>
            <color indexed="81"/>
            <rFont val="Tahoma"/>
            <charset val="1"/>
          </rPr>
          <t xml:space="preserve">
2024 Q2 10Q PG16
</t>
        </r>
      </text>
    </comment>
  </commentList>
</comments>
</file>

<file path=xl/sharedStrings.xml><?xml version="1.0" encoding="utf-8"?>
<sst xmlns="http://schemas.openxmlformats.org/spreadsheetml/2006/main" count="343" uniqueCount="213">
  <si>
    <t>DCF</t>
  </si>
  <si>
    <t>Rev</t>
  </si>
  <si>
    <t>North America</t>
  </si>
  <si>
    <t>International</t>
  </si>
  <si>
    <t>AWS</t>
  </si>
  <si>
    <t>AMZN-US</t>
  </si>
  <si>
    <t>Geographic Segments (M)</t>
  </si>
  <si>
    <t>CY '14</t>
  </si>
  <si>
    <t>CY '15</t>
  </si>
  <si>
    <t>CY '16</t>
  </si>
  <si>
    <t>CY '17</t>
  </si>
  <si>
    <t>CY '18</t>
  </si>
  <si>
    <t>CY '19</t>
  </si>
  <si>
    <t>CY '20</t>
  </si>
  <si>
    <t>CY '21</t>
  </si>
  <si>
    <t>CY '22</t>
  </si>
  <si>
    <t>CY '23</t>
  </si>
  <si>
    <t>CY '24E</t>
  </si>
  <si>
    <t>CY '25E</t>
  </si>
  <si>
    <t>CY '26E</t>
  </si>
  <si>
    <t>CY '27E</t>
  </si>
  <si>
    <t>CY '28E</t>
  </si>
  <si>
    <t>CY '29E</t>
  </si>
  <si>
    <t>Dec '14</t>
  </si>
  <si>
    <t>Dec '15</t>
  </si>
  <si>
    <t>Dec '16</t>
  </si>
  <si>
    <t>Dec '17</t>
  </si>
  <si>
    <t>Dec '18</t>
  </si>
  <si>
    <t>Dec '19</t>
  </si>
  <si>
    <t>Dec '20</t>
  </si>
  <si>
    <t>Dec '21</t>
  </si>
  <si>
    <t>Dec '22</t>
  </si>
  <si>
    <t>Dec '23</t>
  </si>
  <si>
    <t>Dec '24E</t>
  </si>
  <si>
    <t>Dec '25E</t>
  </si>
  <si>
    <t>Dec '26E</t>
  </si>
  <si>
    <t>Dec '27E</t>
  </si>
  <si>
    <t>Dec '28E</t>
  </si>
  <si>
    <t>Dec '29E</t>
  </si>
  <si>
    <t>Sales</t>
  </si>
  <si>
    <t>- NA Other</t>
  </si>
  <si>
    <t>-</t>
  </si>
  <si>
    <t>AWS-Geo</t>
  </si>
  <si>
    <t>Operating Income</t>
  </si>
  <si>
    <t>- NA Media</t>
  </si>
  <si>
    <t>WFM- Geo</t>
  </si>
  <si>
    <t>EBITDA</t>
  </si>
  <si>
    <t>Total</t>
  </si>
  <si>
    <t>% Growth</t>
  </si>
  <si>
    <t>% Of sales</t>
  </si>
  <si>
    <t>EBIT</t>
  </si>
  <si>
    <t>`</t>
  </si>
  <si>
    <t>% Total sales</t>
  </si>
  <si>
    <t>% Total EBIT</t>
  </si>
  <si>
    <t>$AMZN DCF</t>
  </si>
  <si>
    <t>Financials</t>
  </si>
  <si>
    <t>Tax</t>
  </si>
  <si>
    <t>% Tax rate</t>
  </si>
  <si>
    <t>Amazon.com, Inc. (AMZN)</t>
  </si>
  <si>
    <t>$172.12</t>
  </si>
  <si>
    <t>Amazon.com, Inc.</t>
  </si>
  <si>
    <t xml:space="preserve">AMZN   023135106   2000019   NASDAQ    Common stock    </t>
  </si>
  <si>
    <t>Source: FactSet Fundamentals</t>
  </si>
  <si>
    <t>DEC '14</t>
  </si>
  <si>
    <t>DEC '15</t>
  </si>
  <si>
    <t>DEC '16</t>
  </si>
  <si>
    <t>DEC '17</t>
  </si>
  <si>
    <t>DEC '18</t>
  </si>
  <si>
    <t>DEC '19</t>
  </si>
  <si>
    <t>DEC '20</t>
  </si>
  <si>
    <t>DEC '21</t>
  </si>
  <si>
    <t>DEC '22</t>
  </si>
  <si>
    <t>DEC '23</t>
  </si>
  <si>
    <t>JUN '24</t>
  </si>
  <si>
    <t>LTM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</si>
  <si>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</si>
  <si>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</si>
  <si>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</si>
  <si>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</si>
  <si>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</si>
  <si>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Gross Income</t>
  </si>
  <si>
    <t>SG&amp;A Expense</t>
  </si>
  <si>
    <t>Research &amp; Development</t>
  </si>
  <si>
    <t>Other SG&amp;A</t>
  </si>
  <si>
    <t>EBIT (Operating Income)</t>
  </si>
  <si>
    <t>Nonoperating Income - Net</t>
  </si>
  <si>
    <t>Nonoperating Interest Income</t>
  </si>
  <si>
    <t>Other Income (Expense)</t>
  </si>
  <si>
    <t>Interest Expense</t>
  </si>
  <si>
    <t>Gross Interest Expense</t>
  </si>
  <si>
    <t>Unusual Expense - Net</t>
  </si>
  <si>
    <t>Unrealized Valuation Gain/Loss</t>
  </si>
  <si>
    <t>Investments</t>
  </si>
  <si>
    <t>Hedges/Derivatives</t>
  </si>
  <si>
    <t>Pretax Income</t>
  </si>
  <si>
    <t>Income Taxes</t>
  </si>
  <si>
    <t>Income Taxes - Current Domestic</t>
  </si>
  <si>
    <t>Income Taxes - Current Foreign</t>
  </si>
  <si>
    <t>Income Taxes - Deferred Domestic</t>
  </si>
  <si>
    <t>Income Taxes - Deferred Foreign</t>
  </si>
  <si>
    <t>Equity in Earnings of Affiliates</t>
  </si>
  <si>
    <t>Consolidated Net Income</t>
  </si>
  <si>
    <t>Net Income</t>
  </si>
  <si>
    <t>Net Income available to Common</t>
  </si>
  <si>
    <t>Per Share</t>
  </si>
  <si>
    <t>EPS (recurring)</t>
  </si>
  <si>
    <t>EPS (basic)</t>
  </si>
  <si>
    <t>Basic Shares Outstanding</t>
  </si>
  <si>
    <t>Total Shares Outstanding</t>
  </si>
  <si>
    <t>EPS (diluted)</t>
  </si>
  <si>
    <t>Diluted Shares Outstanding</t>
  </si>
  <si>
    <t>Earnings Persistence</t>
  </si>
  <si>
    <t>All figures in millions of U.S. Dollar except per share items.</t>
  </si>
  <si>
    <t>CF Item</t>
  </si>
  <si>
    <t>D&amp;A</t>
  </si>
  <si>
    <t>% Of CapEX</t>
  </si>
  <si>
    <t>CapEX</t>
  </si>
  <si>
    <t>Change NWC</t>
  </si>
  <si>
    <t>% ∆ Sales</t>
  </si>
  <si>
    <t>Operating Activities</t>
  </si>
  <si>
    <t>Net Income / Starting Line</t>
  </si>
  <si>
    <t>Depreciation, Depletion &amp; Amortization</t>
  </si>
  <si>
    <t>Depreciation and Depletion</t>
  </si>
  <si>
    <t>Amortization of Intangible Assets</t>
  </si>
  <si>
    <t>Deferred Taxes &amp; Investment Tax Credit</t>
  </si>
  <si>
    <t>Deferred Taxes</t>
  </si>
  <si>
    <t>Other Funds</t>
  </si>
  <si>
    <t>Funds from Operations</t>
  </si>
  <si>
    <t>Changes in Working Capital</t>
  </si>
  <si>
    <t>Receivables</t>
  </si>
  <si>
    <t>Inventories</t>
  </si>
  <si>
    <t>Accounts Payable</t>
  </si>
  <si>
    <t>Other Accruals</t>
  </si>
  <si>
    <t>Other Assets/Liabilities</t>
  </si>
  <si>
    <t>Net Operating Cash Flow</t>
  </si>
  <si>
    <t>Investing Activities</t>
  </si>
  <si>
    <t>Capital Expenditures</t>
  </si>
  <si>
    <t>Capital Expenditures (Fixed Assets)</t>
  </si>
  <si>
    <t>Net Assets from Acquisitions</t>
  </si>
  <si>
    <t>Sale of Fixed Assets &amp; Businesses</t>
  </si>
  <si>
    <t>Purchase/Sale of Investments</t>
  </si>
  <si>
    <t>Purchase of Investments</t>
  </si>
  <si>
    <t>Sale/Maturity of Investments</t>
  </si>
  <si>
    <t>Net Investing Cash Flow</t>
  </si>
  <si>
    <t>Financing Activities</t>
  </si>
  <si>
    <t>Change in Capital Stock</t>
  </si>
  <si>
    <t>Repurchase of Common &amp; Preferred Stk.</t>
  </si>
  <si>
    <t>Issuance/Reduction of Debt, Net</t>
  </si>
  <si>
    <t>Change in Current Debt</t>
  </si>
  <si>
    <t>Change in Long-Term Debt</t>
  </si>
  <si>
    <t>Issuance of Long-Term Debt</t>
  </si>
  <si>
    <t>Reduction in Long-Term Debt</t>
  </si>
  <si>
    <t>Other Sources</t>
  </si>
  <si>
    <t>Net Financing Cash Flow</t>
  </si>
  <si>
    <t>All Activities</t>
  </si>
  <si>
    <t>Exchange Rate Effect</t>
  </si>
  <si>
    <t>Net Change in Cash</t>
  </si>
  <si>
    <t>Free Cash Flow</t>
  </si>
  <si>
    <t>Free Cash Flow per Share</t>
  </si>
  <si>
    <t>Free Cash Flow Yield (%)</t>
  </si>
  <si>
    <t>Revenue</t>
  </si>
  <si>
    <t xml:space="preserve">% Growth </t>
  </si>
  <si>
    <t>% Of Sales</t>
  </si>
  <si>
    <t>Taxes</t>
  </si>
  <si>
    <t>EBIAT</t>
  </si>
  <si>
    <t>∆ NWC</t>
  </si>
  <si>
    <t>31/12 FYE</t>
  </si>
  <si>
    <t>Linked to other sheet</t>
  </si>
  <si>
    <t xml:space="preserve">Linked to same sheet </t>
  </si>
  <si>
    <t>Unlevered FCF</t>
  </si>
  <si>
    <t>WACC</t>
  </si>
  <si>
    <t xml:space="preserve">Market Cap </t>
  </si>
  <si>
    <t xml:space="preserve">% Of Equity </t>
  </si>
  <si>
    <t xml:space="preserve">Cost of equity </t>
  </si>
  <si>
    <t>Risk free rate</t>
  </si>
  <si>
    <t>β</t>
  </si>
  <si>
    <t xml:space="preserve">Market risk Premium </t>
  </si>
  <si>
    <t xml:space="preserve">Debt </t>
  </si>
  <si>
    <t>% Of debt</t>
  </si>
  <si>
    <t xml:space="preserve">Cost of debt </t>
  </si>
  <si>
    <t xml:space="preserve">Tax rate </t>
  </si>
  <si>
    <t>*in millions</t>
  </si>
  <si>
    <t>Assumptions</t>
  </si>
  <si>
    <t>Ticker</t>
  </si>
  <si>
    <t>Date</t>
  </si>
  <si>
    <t>End Of Year</t>
  </si>
  <si>
    <t>$AMNZ</t>
  </si>
  <si>
    <t>TGR</t>
  </si>
  <si>
    <t>PV of Unlevered FCF</t>
  </si>
  <si>
    <t>Stub</t>
  </si>
  <si>
    <t>Disc Period</t>
  </si>
  <si>
    <t xml:space="preserve">Terminal Vaue </t>
  </si>
  <si>
    <t xml:space="preserve">PV of terminal Value </t>
  </si>
  <si>
    <t>ENTERPRISE VALUE</t>
  </si>
  <si>
    <t>(+) cash</t>
  </si>
  <si>
    <t>(-)debt</t>
  </si>
  <si>
    <t>EQTY Value</t>
  </si>
  <si>
    <t>FDSO</t>
  </si>
  <si>
    <t>Implied share value</t>
  </si>
  <si>
    <t>Diluted Share Count Calculation</t>
  </si>
  <si>
    <t>Full Diluted Shares</t>
  </si>
  <si>
    <t>Current Stock Price</t>
  </si>
  <si>
    <t>Basic shares outstanding (latest filing)</t>
  </si>
  <si>
    <t>In-the-money exercisable options</t>
  </si>
  <si>
    <t>Total proceeds ($mm)</t>
  </si>
  <si>
    <t>Total shares repurchased (mm)</t>
  </si>
  <si>
    <t>Net dilutive options</t>
  </si>
  <si>
    <t xml:space="preserve">Dilutive impact of shares from other securities </t>
  </si>
  <si>
    <t>Net diluted shares outstanding</t>
  </si>
  <si>
    <t>Options outstanding</t>
  </si>
  <si>
    <t>Outstanding</t>
  </si>
  <si>
    <t>Exercise price</t>
  </si>
  <si>
    <t>Dilutive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</si>
</sst>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8" formatCode="#,##0.0_);\(#,##0.0\)"/>
    <numFmt numFmtId="169" formatCode="0.0%"/>
    <numFmt numFmtId="170" formatCode="#,##0.0_);\(#,##0.0\);@_)"/>
    <numFmt numFmtId="171" formatCode="&quot;Tranche&quot;\ 0"/>
    <numFmt numFmtId="172" formatCode="0&quot;A&quot;"/>
    <numFmt numFmtId="173" formatCode="0&quot;E&quot;"/>
    <numFmt numFmtId="177" formatCode="#,##0_ ;\-#,##0\ "/>
    <numFmt numFmtId="180" formatCode="0.000"/>
    <numFmt numFmtId="197" formatCode="0.000%"/>
  </numFmts>
  <fonts count="3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indexed="12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646464"/>
      <name val="Arial"/>
      <family val="2"/>
    </font>
    <font>
      <b/>
      <sz val="10"/>
      <color rgb="FF003366"/>
      <name val="Arial"/>
      <family val="2"/>
    </font>
    <font>
      <sz val="11"/>
      <color theme="9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11"/>
      <color theme="1"/>
      <name val="Aptos Narrow"/>
      <family val="2"/>
    </font>
    <font>
      <b/>
      <sz val="11"/>
      <name val="Aptos Narrow"/>
      <family val="2"/>
      <scheme val="minor"/>
    </font>
    <font>
      <sz val="11"/>
      <color theme="8"/>
      <name val="Aptos Narrow"/>
      <family val="2"/>
      <scheme val="minor"/>
    </font>
    <font>
      <i/>
      <sz val="11"/>
      <color theme="8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8" fillId="0" borderId="0"/>
  </cellStyleXfs>
  <cellXfs count="169">
    <xf numFmtId="0" fontId="0" fillId="0" borderId="0" xfId="0"/>
    <xf numFmtId="0" fontId="0" fillId="0" borderId="0" xfId="0"/>
    <xf numFmtId="0" fontId="9" fillId="0" borderId="0" xfId="0" applyFont="1"/>
    <xf numFmtId="3" fontId="23" fillId="0" borderId="0" xfId="0" applyNumberFormat="1" applyFont="1"/>
    <xf numFmtId="0" fontId="0" fillId="0" borderId="0" xfId="0"/>
    <xf numFmtId="0" fontId="18" fillId="0" borderId="0" xfId="2"/>
    <xf numFmtId="3" fontId="18" fillId="6" borderId="0" xfId="2" applyNumberFormat="1" applyFill="1" applyAlignment="1">
      <alignment horizontal="right"/>
    </xf>
    <xf numFmtId="3" fontId="19" fillId="6" borderId="0" xfId="2" applyNumberFormat="1" applyFont="1" applyFill="1" applyAlignment="1">
      <alignment horizontal="right"/>
    </xf>
    <xf numFmtId="0" fontId="18" fillId="6" borderId="0" xfId="2" applyFill="1" applyAlignment="1">
      <alignment horizontal="left"/>
    </xf>
    <xf numFmtId="3" fontId="19" fillId="0" borderId="0" xfId="2" applyNumberFormat="1" applyFont="1" applyAlignment="1">
      <alignment horizontal="right"/>
    </xf>
    <xf numFmtId="0" fontId="18" fillId="0" borderId="0" xfId="2" applyAlignment="1">
      <alignment horizontal="left"/>
    </xf>
    <xf numFmtId="3" fontId="18" fillId="0" borderId="0" xfId="2" applyNumberFormat="1" applyAlignment="1">
      <alignment horizontal="right"/>
    </xf>
    <xf numFmtId="0" fontId="20" fillId="7" borderId="0" xfId="2" applyFont="1" applyFill="1" applyAlignment="1">
      <alignment horizontal="left"/>
    </xf>
    <xf numFmtId="0" fontId="20" fillId="0" borderId="0" xfId="2" applyFont="1"/>
    <xf numFmtId="0" fontId="18" fillId="6" borderId="0" xfId="2" quotePrefix="1" applyFill="1" applyAlignment="1">
      <alignment horizontal="left"/>
    </xf>
    <xf numFmtId="0" fontId="18" fillId="0" borderId="0" xfId="2" quotePrefix="1" applyAlignment="1">
      <alignment horizontal="left"/>
    </xf>
    <xf numFmtId="3" fontId="0" fillId="0" borderId="0" xfId="0" applyNumberFormat="1"/>
    <xf numFmtId="0" fontId="18" fillId="0" borderId="0" xfId="2" applyAlignment="1">
      <alignment horizontal="right"/>
    </xf>
    <xf numFmtId="0" fontId="18" fillId="6" borderId="0" xfId="2" applyFill="1" applyAlignment="1">
      <alignment horizontal="right"/>
    </xf>
    <xf numFmtId="0" fontId="20" fillId="0" borderId="0" xfId="2" applyFont="1" applyAlignment="1">
      <alignment horizontal="left"/>
    </xf>
    <xf numFmtId="3" fontId="20" fillId="0" borderId="0" xfId="2" applyNumberFormat="1" applyFont="1" applyAlignment="1">
      <alignment horizontal="right"/>
    </xf>
    <xf numFmtId="0" fontId="20" fillId="6" borderId="0" xfId="2" applyFont="1" applyFill="1" applyAlignment="1">
      <alignment horizontal="left"/>
    </xf>
    <xf numFmtId="3" fontId="20" fillId="6" borderId="0" xfId="2" applyNumberFormat="1" applyFont="1" applyFill="1" applyAlignment="1">
      <alignment horizontal="right"/>
    </xf>
    <xf numFmtId="173" fontId="2" fillId="2" borderId="0" xfId="0" applyNumberFormat="1" applyFont="1" applyFill="1"/>
    <xf numFmtId="172" fontId="6" fillId="2" borderId="0" xfId="0" applyNumberFormat="1" applyFont="1" applyFill="1"/>
    <xf numFmtId="172" fontId="2" fillId="2" borderId="0" xfId="0" applyNumberFormat="1" applyFont="1" applyFill="1"/>
    <xf numFmtId="0" fontId="9" fillId="0" borderId="0" xfId="0" applyFont="1" applyAlignment="1">
      <alignment horizontal="right" vertical="center"/>
    </xf>
    <xf numFmtId="9" fontId="0" fillId="0" borderId="0" xfId="1" applyFont="1"/>
    <xf numFmtId="9" fontId="9" fillId="0" borderId="0" xfId="1" applyFont="1"/>
    <xf numFmtId="9" fontId="9" fillId="0" borderId="0" xfId="1" applyFont="1" applyAlignment="1">
      <alignment horizontal="center" vertical="center"/>
    </xf>
    <xf numFmtId="0" fontId="0" fillId="5" borderId="0" xfId="0" applyFill="1"/>
    <xf numFmtId="3" fontId="0" fillId="5" borderId="0" xfId="0" applyNumberFormat="1" applyFill="1"/>
    <xf numFmtId="9" fontId="9" fillId="9" borderId="0" xfId="1" applyFont="1" applyFill="1"/>
    <xf numFmtId="0" fontId="0" fillId="8" borderId="6" xfId="0" applyFill="1" applyBorder="1"/>
    <xf numFmtId="3" fontId="0" fillId="8" borderId="7" xfId="0" applyNumberFormat="1" applyFill="1" applyBorder="1"/>
    <xf numFmtId="3" fontId="0" fillId="8" borderId="8" xfId="0" applyNumberFormat="1" applyFill="1" applyBorder="1"/>
    <xf numFmtId="0" fontId="9" fillId="8" borderId="9" xfId="0" applyFont="1" applyFill="1" applyBorder="1" applyAlignment="1">
      <alignment horizontal="right" vertical="center"/>
    </xf>
    <xf numFmtId="9" fontId="9" fillId="8" borderId="1" xfId="1" applyFont="1" applyFill="1" applyBorder="1" applyAlignment="1">
      <alignment horizontal="center" vertical="center"/>
    </xf>
    <xf numFmtId="9" fontId="9" fillId="8" borderId="1" xfId="1" applyFont="1" applyFill="1" applyBorder="1"/>
    <xf numFmtId="9" fontId="9" fillId="8" borderId="10" xfId="1" applyFont="1" applyFill="1" applyBorder="1"/>
    <xf numFmtId="177" fontId="23" fillId="0" borderId="0" xfId="0" applyNumberFormat="1" applyFont="1"/>
    <xf numFmtId="3" fontId="9" fillId="8" borderId="9" xfId="0" applyNumberFormat="1" applyFont="1" applyFill="1" applyBorder="1" applyAlignment="1">
      <alignment horizontal="right"/>
    </xf>
    <xf numFmtId="9" fontId="9" fillId="8" borderId="10" xfId="1" applyFont="1" applyFill="1" applyBorder="1" applyAlignment="1">
      <alignment horizontal="center" vertical="center"/>
    </xf>
    <xf numFmtId="9" fontId="24" fillId="0" borderId="0" xfId="1" applyFont="1"/>
    <xf numFmtId="177" fontId="3" fillId="0" borderId="0" xfId="0" applyNumberFormat="1" applyFont="1"/>
    <xf numFmtId="0" fontId="14" fillId="10" borderId="0" xfId="0" applyFont="1" applyFill="1"/>
    <xf numFmtId="0" fontId="25" fillId="0" borderId="0" xfId="0" applyFont="1"/>
    <xf numFmtId="0" fontId="0" fillId="0" borderId="0" xfId="0"/>
    <xf numFmtId="3" fontId="18" fillId="6" borderId="0" xfId="2" applyNumberFormat="1" applyFill="1" applyAlignment="1">
      <alignment horizontal="right"/>
    </xf>
    <xf numFmtId="3" fontId="19" fillId="6" borderId="0" xfId="2" applyNumberFormat="1" applyFont="1" applyFill="1" applyAlignment="1">
      <alignment horizontal="right"/>
    </xf>
    <xf numFmtId="0" fontId="18" fillId="6" borderId="0" xfId="2" applyFill="1" applyAlignment="1">
      <alignment horizontal="left"/>
    </xf>
    <xf numFmtId="3" fontId="19" fillId="0" borderId="0" xfId="2" applyNumberFormat="1" applyFont="1" applyAlignment="1">
      <alignment horizontal="right"/>
    </xf>
    <xf numFmtId="0" fontId="18" fillId="0" borderId="0" xfId="2" applyAlignment="1">
      <alignment horizontal="left"/>
    </xf>
    <xf numFmtId="3" fontId="18" fillId="0" borderId="0" xfId="2" applyNumberFormat="1" applyAlignment="1">
      <alignment horizontal="right"/>
    </xf>
    <xf numFmtId="0" fontId="20" fillId="7" borderId="0" xfId="2" applyFont="1" applyFill="1" applyAlignment="1">
      <alignment horizontal="left"/>
    </xf>
    <xf numFmtId="0" fontId="20" fillId="0" borderId="0" xfId="2" applyFont="1"/>
    <xf numFmtId="0" fontId="21" fillId="0" borderId="0" xfId="2" applyFont="1" applyAlignment="1">
      <alignment horizontal="left"/>
    </xf>
    <xf numFmtId="4" fontId="18" fillId="0" borderId="0" xfId="2" applyNumberFormat="1" applyAlignment="1">
      <alignment horizontal="right"/>
    </xf>
    <xf numFmtId="4" fontId="19" fillId="0" borderId="0" xfId="2" applyNumberFormat="1" applyFont="1" applyAlignment="1">
      <alignment horizontal="right"/>
    </xf>
    <xf numFmtId="0" fontId="18" fillId="0" borderId="0" xfId="2" applyAlignment="1">
      <alignment horizontal="left" indent="4"/>
    </xf>
    <xf numFmtId="0" fontId="18" fillId="6" borderId="0" xfId="2" applyFill="1" applyAlignment="1">
      <alignment horizontal="left" indent="4"/>
    </xf>
    <xf numFmtId="3" fontId="22" fillId="0" borderId="0" xfId="2" applyNumberFormat="1" applyFont="1" applyAlignment="1">
      <alignment horizontal="right"/>
    </xf>
    <xf numFmtId="0" fontId="22" fillId="0" borderId="0" xfId="2" applyFont="1" applyAlignment="1">
      <alignment horizontal="left" indent="3"/>
    </xf>
    <xf numFmtId="0" fontId="18" fillId="6" borderId="0" xfId="2" applyFill="1" applyAlignment="1">
      <alignment horizontal="left" indent="1"/>
    </xf>
    <xf numFmtId="0" fontId="18" fillId="0" borderId="0" xfId="2" applyAlignment="1">
      <alignment horizontal="left" indent="1"/>
    </xf>
    <xf numFmtId="0" fontId="22" fillId="6" borderId="0" xfId="2" applyFont="1" applyFill="1" applyAlignment="1">
      <alignment horizontal="left"/>
    </xf>
    <xf numFmtId="0" fontId="18" fillId="6" borderId="0" xfId="2" applyFill="1" applyAlignment="1">
      <alignment horizontal="left" indent="7"/>
    </xf>
    <xf numFmtId="0" fontId="18" fillId="0" borderId="0" xfId="2" applyAlignment="1">
      <alignment horizontal="left" indent="7"/>
    </xf>
    <xf numFmtId="3" fontId="22" fillId="6" borderId="0" xfId="2" applyNumberFormat="1" applyFont="1" applyFill="1" applyAlignment="1">
      <alignment horizontal="right"/>
    </xf>
    <xf numFmtId="0" fontId="22" fillId="6" borderId="0" xfId="2" applyFont="1" applyFill="1" applyAlignment="1">
      <alignment horizontal="left" indent="3"/>
    </xf>
    <xf numFmtId="0" fontId="22" fillId="0" borderId="0" xfId="2" applyFont="1" applyAlignment="1">
      <alignment horizontal="left"/>
    </xf>
    <xf numFmtId="0" fontId="18" fillId="0" borderId="11" xfId="2" applyBorder="1"/>
    <xf numFmtId="0" fontId="18" fillId="0" borderId="12" xfId="2" applyBorder="1"/>
    <xf numFmtId="4" fontId="18" fillId="6" borderId="0" xfId="2" applyNumberFormat="1" applyFill="1" applyAlignment="1">
      <alignment horizontal="right"/>
    </xf>
    <xf numFmtId="4" fontId="22" fillId="0" borderId="0" xfId="2" applyNumberFormat="1" applyFont="1" applyAlignment="1">
      <alignment horizontal="right"/>
    </xf>
    <xf numFmtId="4" fontId="22" fillId="6" borderId="0" xfId="2" applyNumberFormat="1" applyFont="1" applyFill="1" applyAlignment="1">
      <alignment horizontal="right"/>
    </xf>
    <xf numFmtId="0" fontId="22" fillId="0" borderId="0" xfId="2" applyFont="1" applyAlignment="1">
      <alignment horizontal="left" indent="6"/>
    </xf>
    <xf numFmtId="0" fontId="0" fillId="0" borderId="0" xfId="0"/>
    <xf numFmtId="0" fontId="4" fillId="0" borderId="3" xfId="0" applyFont="1" applyBorder="1"/>
    <xf numFmtId="0" fontId="4" fillId="0" borderId="4" xfId="0" applyFont="1" applyBorder="1"/>
    <xf numFmtId="3" fontId="18" fillId="6" borderId="0" xfId="2" applyNumberFormat="1" applyFill="1" applyAlignment="1">
      <alignment horizontal="right"/>
    </xf>
    <xf numFmtId="3" fontId="19" fillId="6" borderId="0" xfId="2" applyNumberFormat="1" applyFont="1" applyFill="1" applyAlignment="1">
      <alignment horizontal="right"/>
    </xf>
    <xf numFmtId="0" fontId="18" fillId="6" borderId="0" xfId="2" applyFill="1" applyAlignment="1">
      <alignment horizontal="left"/>
    </xf>
    <xf numFmtId="3" fontId="19" fillId="0" borderId="0" xfId="2" applyNumberFormat="1" applyFont="1" applyAlignment="1">
      <alignment horizontal="right"/>
    </xf>
    <xf numFmtId="0" fontId="18" fillId="0" borderId="0" xfId="2" applyAlignment="1">
      <alignment horizontal="left"/>
    </xf>
    <xf numFmtId="3" fontId="18" fillId="0" borderId="0" xfId="2" applyNumberFormat="1" applyAlignment="1">
      <alignment horizontal="right"/>
    </xf>
    <xf numFmtId="0" fontId="20" fillId="7" borderId="0" xfId="2" applyFont="1" applyFill="1" applyAlignment="1">
      <alignment horizontal="left"/>
    </xf>
    <xf numFmtId="0" fontId="20" fillId="0" borderId="0" xfId="2" applyFont="1"/>
    <xf numFmtId="0" fontId="21" fillId="0" borderId="0" xfId="2" applyFont="1" applyAlignment="1">
      <alignment horizontal="left"/>
    </xf>
    <xf numFmtId="4" fontId="18" fillId="0" borderId="0" xfId="2" applyNumberFormat="1" applyAlignment="1">
      <alignment horizontal="right"/>
    </xf>
    <xf numFmtId="4" fontId="19" fillId="0" borderId="0" xfId="2" applyNumberFormat="1" applyFont="1" applyAlignment="1">
      <alignment horizontal="right"/>
    </xf>
    <xf numFmtId="0" fontId="18" fillId="0" borderId="0" xfId="2" applyAlignment="1">
      <alignment horizontal="left" indent="4"/>
    </xf>
    <xf numFmtId="0" fontId="18" fillId="6" borderId="0" xfId="2" applyFill="1" applyAlignment="1">
      <alignment horizontal="left" indent="4"/>
    </xf>
    <xf numFmtId="3" fontId="22" fillId="0" borderId="0" xfId="2" applyNumberFormat="1" applyFont="1" applyAlignment="1">
      <alignment horizontal="right"/>
    </xf>
    <xf numFmtId="0" fontId="22" fillId="0" borderId="0" xfId="2" applyFont="1" applyAlignment="1">
      <alignment horizontal="left" indent="3"/>
    </xf>
    <xf numFmtId="0" fontId="18" fillId="6" borderId="0" xfId="2" applyFill="1" applyAlignment="1">
      <alignment horizontal="left" indent="1"/>
    </xf>
    <xf numFmtId="0" fontId="18" fillId="0" borderId="0" xfId="2" applyAlignment="1">
      <alignment horizontal="left" indent="1"/>
    </xf>
    <xf numFmtId="0" fontId="22" fillId="6" borderId="0" xfId="2" applyFont="1" applyFill="1" applyAlignment="1">
      <alignment horizontal="left"/>
    </xf>
    <xf numFmtId="0" fontId="18" fillId="6" borderId="0" xfId="2" applyFill="1" applyAlignment="1">
      <alignment horizontal="left" indent="7"/>
    </xf>
    <xf numFmtId="0" fontId="18" fillId="0" borderId="0" xfId="2" applyAlignment="1">
      <alignment horizontal="left" indent="7"/>
    </xf>
    <xf numFmtId="3" fontId="22" fillId="6" borderId="0" xfId="2" applyNumberFormat="1" applyFont="1" applyFill="1" applyAlignment="1">
      <alignment horizontal="right"/>
    </xf>
    <xf numFmtId="0" fontId="22" fillId="6" borderId="0" xfId="2" applyFont="1" applyFill="1" applyAlignment="1">
      <alignment horizontal="left" indent="6"/>
    </xf>
    <xf numFmtId="0" fontId="22" fillId="6" borderId="0" xfId="2" applyFont="1" applyFill="1" applyAlignment="1">
      <alignment horizontal="left" indent="3"/>
    </xf>
    <xf numFmtId="0" fontId="22" fillId="0" borderId="0" xfId="2" applyFont="1" applyAlignment="1">
      <alignment horizontal="left"/>
    </xf>
    <xf numFmtId="0" fontId="18" fillId="0" borderId="11" xfId="2" applyBorder="1"/>
    <xf numFmtId="0" fontId="18" fillId="0" borderId="12" xfId="2" applyBorder="1"/>
    <xf numFmtId="3" fontId="0" fillId="0" borderId="0" xfId="0" applyNumberFormat="1"/>
    <xf numFmtId="2" fontId="0" fillId="0" borderId="0" xfId="0" applyNumberFormat="1"/>
    <xf numFmtId="0" fontId="4" fillId="0" borderId="7" xfId="0" applyFont="1" applyBorder="1"/>
    <xf numFmtId="0" fontId="4" fillId="0" borderId="9" xfId="0" applyFont="1" applyBorder="1"/>
    <xf numFmtId="0" fontId="4" fillId="0" borderId="1" xfId="0" applyFont="1" applyBorder="1"/>
    <xf numFmtId="0" fontId="0" fillId="0" borderId="0" xfId="0" applyAlignment="1">
      <alignment horizontal="center" vertical="center"/>
    </xf>
    <xf numFmtId="177" fontId="17" fillId="0" borderId="0" xfId="0" applyNumberFormat="1" applyFont="1"/>
    <xf numFmtId="9" fontId="17" fillId="0" borderId="0" xfId="1" applyFont="1"/>
    <xf numFmtId="0" fontId="0" fillId="10" borderId="0" xfId="0" applyFill="1"/>
    <xf numFmtId="0" fontId="26" fillId="10" borderId="0" xfId="0" applyFont="1" applyFill="1"/>
    <xf numFmtId="3" fontId="27" fillId="0" borderId="0" xfId="0" applyNumberFormat="1" applyFont="1"/>
    <xf numFmtId="9" fontId="0" fillId="0" borderId="0" xfId="0" applyNumberFormat="1"/>
    <xf numFmtId="177" fontId="27" fillId="0" borderId="0" xfId="0" applyNumberFormat="1" applyFont="1"/>
    <xf numFmtId="9" fontId="28" fillId="0" borderId="0" xfId="1" applyFont="1"/>
    <xf numFmtId="177" fontId="14" fillId="0" borderId="0" xfId="0" applyNumberFormat="1" applyFont="1"/>
    <xf numFmtId="177" fontId="4" fillId="0" borderId="0" xfId="0" applyNumberFormat="1" applyFont="1"/>
    <xf numFmtId="177" fontId="4" fillId="0" borderId="4" xfId="0" applyNumberFormat="1" applyFont="1" applyBorder="1"/>
    <xf numFmtId="177" fontId="4" fillId="0" borderId="5" xfId="0" applyNumberFormat="1" applyFont="1" applyBorder="1"/>
    <xf numFmtId="177" fontId="0" fillId="0" borderId="0" xfId="0" applyNumberFormat="1"/>
    <xf numFmtId="0" fontId="29" fillId="0" borderId="0" xfId="0" applyFont="1"/>
    <xf numFmtId="10" fontId="0" fillId="10" borderId="0" xfId="0" applyNumberFormat="1" applyFill="1"/>
    <xf numFmtId="14" fontId="0" fillId="0" borderId="0" xfId="0" applyNumberFormat="1"/>
    <xf numFmtId="169" fontId="0" fillId="0" borderId="0" xfId="1" applyNumberFormat="1" applyFont="1"/>
    <xf numFmtId="0" fontId="0" fillId="11" borderId="2" xfId="0" applyFill="1" applyBorder="1"/>
    <xf numFmtId="14" fontId="0" fillId="11" borderId="2" xfId="0" applyNumberFormat="1" applyFill="1" applyBorder="1"/>
    <xf numFmtId="197" fontId="0" fillId="12" borderId="0" xfId="0" applyNumberFormat="1" applyFill="1"/>
    <xf numFmtId="197" fontId="0" fillId="11" borderId="13" xfId="0" applyNumberFormat="1" applyFill="1" applyBorder="1"/>
    <xf numFmtId="10" fontId="30" fillId="11" borderId="2" xfId="0" applyNumberFormat="1" applyFont="1" applyFill="1" applyBorder="1"/>
    <xf numFmtId="180" fontId="0" fillId="0" borderId="0" xfId="0" applyNumberFormat="1"/>
    <xf numFmtId="0" fontId="4" fillId="0" borderId="6" xfId="0" applyFont="1" applyBorder="1" applyAlignment="1">
      <alignment wrapText="1"/>
    </xf>
    <xf numFmtId="177" fontId="4" fillId="0" borderId="7" xfId="0" applyNumberFormat="1" applyFont="1" applyBorder="1"/>
    <xf numFmtId="177" fontId="4" fillId="0" borderId="8" xfId="0" applyNumberFormat="1" applyFont="1" applyBorder="1"/>
    <xf numFmtId="177" fontId="4" fillId="0" borderId="1" xfId="0" applyNumberFormat="1" applyFont="1" applyBorder="1"/>
    <xf numFmtId="177" fontId="4" fillId="0" borderId="10" xfId="0" applyNumberFormat="1" applyFont="1" applyBorder="1"/>
    <xf numFmtId="4" fontId="0" fillId="0" borderId="0" xfId="0" applyNumberFormat="1"/>
    <xf numFmtId="0" fontId="0" fillId="0" borderId="0" xfId="0"/>
    <xf numFmtId="0" fontId="7" fillId="0" borderId="1" xfId="0" applyFont="1" applyBorder="1"/>
    <xf numFmtId="0" fontId="0" fillId="0" borderId="1" xfId="0" applyBorder="1"/>
    <xf numFmtId="0" fontId="0" fillId="0" borderId="0" xfId="0" applyAlignment="1">
      <alignment horizontal="left" indent="1"/>
    </xf>
    <xf numFmtId="39" fontId="10" fillId="4" borderId="2" xfId="0" applyNumberFormat="1" applyFont="1" applyFill="1" applyBorder="1" applyAlignment="1">
      <alignment horizontal="right"/>
    </xf>
    <xf numFmtId="168" fontId="10" fillId="4" borderId="2" xfId="0" applyNumberFormat="1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5" fillId="3" borderId="0" xfId="0" applyFont="1" applyFill="1" applyAlignment="1">
      <alignment horizontal="centerContinuous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Continuous"/>
    </xf>
    <xf numFmtId="0" fontId="0" fillId="0" borderId="0" xfId="0" applyAlignment="1">
      <alignment horizontal="left"/>
    </xf>
    <xf numFmtId="0" fontId="15" fillId="0" borderId="0" xfId="0" applyFont="1" applyAlignment="1">
      <alignment horizontal="left"/>
    </xf>
    <xf numFmtId="170" fontId="16" fillId="0" borderId="0" xfId="0" applyNumberFormat="1" applyFont="1"/>
    <xf numFmtId="170" fontId="0" fillId="0" borderId="0" xfId="0" applyNumberFormat="1"/>
    <xf numFmtId="170" fontId="8" fillId="0" borderId="0" xfId="0" applyNumberFormat="1" applyFont="1"/>
    <xf numFmtId="0" fontId="4" fillId="0" borderId="0" xfId="0" applyFont="1" applyAlignment="1">
      <alignment horizontal="left"/>
    </xf>
    <xf numFmtId="168" fontId="0" fillId="0" borderId="0" xfId="0" applyNumberFormat="1"/>
    <xf numFmtId="170" fontId="4" fillId="0" borderId="0" xfId="0" applyNumberFormat="1" applyFont="1"/>
    <xf numFmtId="171" fontId="0" fillId="0" borderId="0" xfId="0" applyNumberFormat="1" applyAlignment="1">
      <alignment horizontal="left"/>
    </xf>
    <xf numFmtId="0" fontId="0" fillId="0" borderId="0" xfId="0" applyAlignment="1">
      <alignment horizontal="right" indent="1"/>
    </xf>
    <xf numFmtId="171" fontId="0" fillId="0" borderId="1" xfId="0" applyNumberFormat="1" applyBorder="1" applyAlignment="1">
      <alignment horizontal="left"/>
    </xf>
    <xf numFmtId="168" fontId="10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 indent="1"/>
    </xf>
    <xf numFmtId="0" fontId="4" fillId="5" borderId="3" xfId="0" applyFont="1" applyFill="1" applyBorder="1"/>
    <xf numFmtId="0" fontId="4" fillId="5" borderId="4" xfId="0" applyFont="1" applyFill="1" applyBorder="1"/>
    <xf numFmtId="2" fontId="4" fillId="5" borderId="5" xfId="0" applyNumberFormat="1" applyFont="1" applyFill="1" applyBorder="1" applyAlignment="1">
      <alignment horizontal="right" indent="1"/>
    </xf>
    <xf numFmtId="2" fontId="0" fillId="0" borderId="0" xfId="0" applyNumberFormat="1"/>
  </cellXfs>
  <cellStyles count="3">
    <cellStyle name="Normal" xfId="0" builtinId="0"/>
    <cellStyle name="Normal 2" xfId="2" xr:uid="{05170014-A488-4A3D-ACB9-B6CC8587D7C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6D33-E1FD-4654-9659-A4B0E8232A6F}">
  <dimension ref="A1:X105"/>
  <sheetViews>
    <sheetView tabSelected="1" workbookViewId="0">
      <selection activeCell="S99" sqref="S99"/>
    </sheetView>
  </sheetViews>
  <sheetFormatPr defaultRowHeight="14.4" outlineLevelCol="1" x14ac:dyDescent="0.3"/>
  <cols>
    <col min="1" max="1" width="2.33203125" customWidth="1"/>
    <col min="2" max="2" width="17.33203125" bestFit="1" customWidth="1"/>
    <col min="3" max="4" width="10.21875" hidden="1" customWidth="1" outlineLevel="1"/>
    <col min="5" max="11" width="0" hidden="1" customWidth="1" outlineLevel="1"/>
    <col min="12" max="12" width="10.33203125" bestFit="1" customWidth="1" collapsed="1"/>
    <col min="13" max="13" width="18.77734375" bestFit="1" customWidth="1"/>
    <col min="17" max="17" width="11.6640625" bestFit="1" customWidth="1"/>
    <col min="20" max="20" width="18.21875" bestFit="1" customWidth="1"/>
  </cols>
  <sheetData>
    <row r="1" spans="2:24" x14ac:dyDescent="0.3">
      <c r="B1" t="s">
        <v>54</v>
      </c>
      <c r="T1" t="s">
        <v>51</v>
      </c>
    </row>
    <row r="2" spans="2:24" customFormat="1" x14ac:dyDescent="0.3">
      <c r="B2" s="45" t="s">
        <v>55</v>
      </c>
      <c r="T2" s="3"/>
    </row>
    <row r="3" spans="2:24" s="77" customFormat="1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s="3"/>
    </row>
    <row r="4" spans="2:24" s="77" customFormat="1" x14ac:dyDescent="0.3">
      <c r="B4" s="77" t="s">
        <v>183</v>
      </c>
      <c r="L4" s="129" t="s">
        <v>186</v>
      </c>
      <c r="T4" s="3"/>
    </row>
    <row r="5" spans="2:24" s="77" customFormat="1" x14ac:dyDescent="0.3">
      <c r="B5" s="77" t="s">
        <v>184</v>
      </c>
      <c r="L5" s="130">
        <v>45556</v>
      </c>
      <c r="T5" s="3"/>
    </row>
    <row r="6" spans="2:24" s="77" customFormat="1" x14ac:dyDescent="0.3">
      <c r="B6" s="77" t="s">
        <v>185</v>
      </c>
      <c r="L6" s="130">
        <v>45657</v>
      </c>
      <c r="T6" s="3"/>
    </row>
    <row r="7" spans="2:24" s="77" customFormat="1" x14ac:dyDescent="0.3">
      <c r="T7" s="3"/>
    </row>
    <row r="8" spans="2:24" s="77" customFormat="1" x14ac:dyDescent="0.3">
      <c r="B8" s="24" t="s">
        <v>182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T8" s="3"/>
    </row>
    <row r="9" spans="2:24" s="77" customFormat="1" x14ac:dyDescent="0.3">
      <c r="B9" s="77" t="s">
        <v>170</v>
      </c>
      <c r="L9" s="132">
        <f>WACC!B21</f>
        <v>8.8628852909769268E-2</v>
      </c>
      <c r="T9" s="3"/>
    </row>
    <row r="10" spans="2:24" s="77" customFormat="1" x14ac:dyDescent="0.3">
      <c r="B10" s="77" t="s">
        <v>187</v>
      </c>
      <c r="L10" s="133">
        <v>2.5000000000000001E-2</v>
      </c>
      <c r="T10" s="3"/>
    </row>
    <row r="11" spans="2:24" s="77" customFormat="1" x14ac:dyDescent="0.3">
      <c r="T11" s="3"/>
    </row>
    <row r="12" spans="2:24" s="77" customFormat="1" ht="3" customHeight="1" x14ac:dyDescent="0.3">
      <c r="T12" s="3"/>
    </row>
    <row r="13" spans="2:24" customFormat="1" x14ac:dyDescent="0.3">
      <c r="B13" s="24" t="s">
        <v>1</v>
      </c>
      <c r="C13" s="25">
        <f>2015</f>
        <v>2015</v>
      </c>
      <c r="D13" s="25">
        <f t="shared" ref="D13:M13" si="0">C13+1</f>
        <v>2016</v>
      </c>
      <c r="E13" s="25">
        <f t="shared" si="0"/>
        <v>2017</v>
      </c>
      <c r="F13" s="25">
        <f t="shared" si="0"/>
        <v>2018</v>
      </c>
      <c r="G13" s="25">
        <f t="shared" si="0"/>
        <v>2019</v>
      </c>
      <c r="H13" s="25">
        <f t="shared" si="0"/>
        <v>2020</v>
      </c>
      <c r="I13" s="25">
        <f t="shared" si="0"/>
        <v>2021</v>
      </c>
      <c r="J13" s="25">
        <f t="shared" si="0"/>
        <v>2022</v>
      </c>
      <c r="K13" s="25">
        <f t="shared" si="0"/>
        <v>2023</v>
      </c>
      <c r="L13" s="23">
        <f t="shared" si="0"/>
        <v>2024</v>
      </c>
      <c r="M13" s="23">
        <f t="shared" si="0"/>
        <v>2025</v>
      </c>
      <c r="N13" s="23">
        <f t="shared" ref="N13:Q13" si="1">M13+1</f>
        <v>2026</v>
      </c>
      <c r="O13" s="23">
        <f t="shared" si="1"/>
        <v>2027</v>
      </c>
      <c r="P13" s="23">
        <f t="shared" si="1"/>
        <v>2028</v>
      </c>
      <c r="Q13" s="23">
        <f t="shared" si="1"/>
        <v>2029</v>
      </c>
      <c r="R13" s="16"/>
      <c r="S13" s="16"/>
      <c r="T13" s="116" t="s">
        <v>168</v>
      </c>
      <c r="U13" s="16"/>
      <c r="V13" s="16"/>
      <c r="W13" s="16"/>
      <c r="X13" s="16"/>
    </row>
    <row r="14" spans="2:24" customFormat="1" ht="4.95" customHeight="1" x14ac:dyDescent="0.3"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2:24" customFormat="1" x14ac:dyDescent="0.3">
      <c r="B15" s="1" t="s">
        <v>2</v>
      </c>
      <c r="C15" s="3">
        <f>Segments!C6</f>
        <v>63708</v>
      </c>
      <c r="D15" s="3">
        <f>Segments!D6</f>
        <v>79785</v>
      </c>
      <c r="E15" s="3">
        <f>Segments!E6</f>
        <v>106110</v>
      </c>
      <c r="F15" s="3">
        <f>Segments!F6</f>
        <v>141366</v>
      </c>
      <c r="G15" s="3">
        <f>Segments!G6</f>
        <v>170773</v>
      </c>
      <c r="H15" s="3">
        <f>Segments!H6</f>
        <v>236282</v>
      </c>
      <c r="I15" s="3">
        <f>Segments!I6</f>
        <v>279833</v>
      </c>
      <c r="J15" s="3">
        <f>Segments!J6</f>
        <v>315880</v>
      </c>
      <c r="K15" s="3">
        <f>Segments!K6</f>
        <v>352828</v>
      </c>
      <c r="L15" s="3">
        <f>Segments!L6</f>
        <v>386647</v>
      </c>
      <c r="M15" s="3">
        <f>Segments!M6</f>
        <v>423461</v>
      </c>
      <c r="N15" s="3">
        <f>Segments!N6</f>
        <v>461471</v>
      </c>
      <c r="O15" s="3">
        <f>Segments!O6</f>
        <v>497416</v>
      </c>
      <c r="P15" s="3">
        <f>Segments!P6</f>
        <v>546306</v>
      </c>
      <c r="Q15" s="3">
        <f>Segments!Q6</f>
        <v>590847</v>
      </c>
      <c r="R15" s="3"/>
      <c r="S15" s="3"/>
      <c r="T15" s="3" t="s">
        <v>167</v>
      </c>
      <c r="U15" s="3"/>
      <c r="V15" s="3"/>
      <c r="W15" s="3"/>
    </row>
    <row r="16" spans="2:24" s="4" customFormat="1" x14ac:dyDescent="0.3">
      <c r="B16" s="26" t="s">
        <v>48</v>
      </c>
      <c r="C16" s="29" t="str">
        <f>IFERROR(C15/B15-1,"-")</f>
        <v>-</v>
      </c>
      <c r="D16" s="28">
        <f>IFERROR(D15/C15-1,"-")</f>
        <v>0.25235449237144469</v>
      </c>
      <c r="E16" s="28">
        <f t="shared" ref="E16:Q16" si="2">IFERROR(E15/D15-1,"-")</f>
        <v>0.32994923857868019</v>
      </c>
      <c r="F16" s="28">
        <f t="shared" si="2"/>
        <v>0.33225897653378578</v>
      </c>
      <c r="G16" s="28">
        <f t="shared" si="2"/>
        <v>0.20802031605902416</v>
      </c>
      <c r="H16" s="28">
        <f t="shared" si="2"/>
        <v>0.38360279435273736</v>
      </c>
      <c r="I16" s="28">
        <f t="shared" si="2"/>
        <v>0.1843178913332375</v>
      </c>
      <c r="J16" s="28">
        <f t="shared" si="2"/>
        <v>0.12881611532592663</v>
      </c>
      <c r="K16" s="28">
        <f t="shared" si="2"/>
        <v>0.11696846903887548</v>
      </c>
      <c r="L16" s="28">
        <f t="shared" si="2"/>
        <v>9.5851236296438991E-2</v>
      </c>
      <c r="M16" s="28">
        <f t="shared" si="2"/>
        <v>9.5213463443399204E-2</v>
      </c>
      <c r="N16" s="32">
        <f t="shared" si="2"/>
        <v>8.9760332120313313E-2</v>
      </c>
      <c r="O16" s="32">
        <f t="shared" si="2"/>
        <v>7.7892218579282302E-2</v>
      </c>
      <c r="P16" s="32">
        <f t="shared" si="2"/>
        <v>9.8287952136642209E-2</v>
      </c>
      <c r="Q16" s="32">
        <f t="shared" si="2"/>
        <v>8.1531229750359646E-2</v>
      </c>
    </row>
    <row r="17" spans="1:24" s="4" customFormat="1" x14ac:dyDescent="0.3">
      <c r="B17" s="26" t="s">
        <v>52</v>
      </c>
      <c r="C17" s="29">
        <f>SUM(C15/C27)</f>
        <v>0.59536848401024245</v>
      </c>
      <c r="D17" s="29">
        <f t="shared" ref="D17:Q17" si="3">SUM(D15/D27)</f>
        <v>0.58671049438549272</v>
      </c>
      <c r="E17" s="29">
        <f t="shared" si="3"/>
        <v>0.59657270079722935</v>
      </c>
      <c r="F17" s="29">
        <f t="shared" si="3"/>
        <v>0.6070154194952917</v>
      </c>
      <c r="G17" s="29">
        <f t="shared" si="3"/>
        <v>0.60876865272598946</v>
      </c>
      <c r="H17" s="29">
        <f t="shared" si="3"/>
        <v>0.61202805752414102</v>
      </c>
      <c r="I17" s="29">
        <f t="shared" si="3"/>
        <v>0.59561493501794294</v>
      </c>
      <c r="J17" s="29">
        <f t="shared" si="3"/>
        <v>0.61457285552245888</v>
      </c>
      <c r="K17" s="29">
        <f t="shared" si="3"/>
        <v>0.61384343711126765</v>
      </c>
      <c r="L17" s="29">
        <f t="shared" si="3"/>
        <v>0.60827410225188239</v>
      </c>
      <c r="M17" s="29">
        <f t="shared" si="3"/>
        <v>0.59999943324232152</v>
      </c>
      <c r="N17" s="29">
        <f t="shared" si="3"/>
        <v>0.58799072916706485</v>
      </c>
      <c r="O17" s="29">
        <f t="shared" si="3"/>
        <v>0.57396780852662099</v>
      </c>
      <c r="P17" s="29">
        <f t="shared" si="3"/>
        <v>0.57238020799500444</v>
      </c>
      <c r="Q17" s="29">
        <f t="shared" si="3"/>
        <v>0.55955871489777598</v>
      </c>
    </row>
    <row r="18" spans="1:24" s="4" customFormat="1" x14ac:dyDescent="0.3"/>
    <row r="19" spans="1:24" customFormat="1" x14ac:dyDescent="0.3">
      <c r="A19" s="4"/>
      <c r="B19" s="1" t="s">
        <v>3</v>
      </c>
      <c r="C19" s="3">
        <f>Segments!C8</f>
        <v>35418</v>
      </c>
      <c r="D19" s="3">
        <f>Segments!D8</f>
        <v>43983</v>
      </c>
      <c r="E19" s="3">
        <f>Segments!E8</f>
        <v>54297</v>
      </c>
      <c r="F19" s="3">
        <f>Segments!F8</f>
        <v>65866</v>
      </c>
      <c r="G19" s="3">
        <f>Segments!G8</f>
        <v>74723</v>
      </c>
      <c r="H19" s="3">
        <f>Segments!H8</f>
        <v>104412</v>
      </c>
      <c r="I19" s="3">
        <f>Segments!I8</f>
        <v>127787</v>
      </c>
      <c r="J19" s="3">
        <f>Segments!J8</f>
        <v>118007</v>
      </c>
      <c r="K19" s="3">
        <f>Segments!K8</f>
        <v>131200</v>
      </c>
      <c r="L19" s="3">
        <f>Segments!L8</f>
        <v>141444</v>
      </c>
      <c r="M19" s="3">
        <f>Segments!M8</f>
        <v>154680</v>
      </c>
      <c r="N19" s="3">
        <f>Segments!N8</f>
        <v>171709</v>
      </c>
      <c r="O19" s="3">
        <f>Segments!O8</f>
        <v>192631</v>
      </c>
      <c r="P19" s="3">
        <f>Segments!P8</f>
        <v>199416</v>
      </c>
      <c r="Q19" s="3">
        <f>Segments!Q8</f>
        <v>215930</v>
      </c>
      <c r="R19" s="3"/>
      <c r="S19" s="3"/>
      <c r="T19" s="3"/>
      <c r="U19" s="3"/>
      <c r="V19" s="3"/>
      <c r="W19" s="3"/>
    </row>
    <row r="20" spans="1:24" s="4" customFormat="1" x14ac:dyDescent="0.3">
      <c r="B20" s="26" t="s">
        <v>48</v>
      </c>
      <c r="C20" s="29" t="str">
        <f>IFERROR(C19/B19-1,"-")</f>
        <v>-</v>
      </c>
      <c r="D20" s="28">
        <f>IFERROR(D19/C19-1,"-")</f>
        <v>0.24182619007284423</v>
      </c>
      <c r="E20" s="28">
        <f t="shared" ref="E20" si="4">IFERROR(E19/D19-1,"-")</f>
        <v>0.23449969306322904</v>
      </c>
      <c r="F20" s="28">
        <f t="shared" ref="F20" si="5">IFERROR(F19/E19-1,"-")</f>
        <v>0.21306886199974207</v>
      </c>
      <c r="G20" s="28">
        <f t="shared" ref="G20" si="6">IFERROR(G19/F19-1,"-")</f>
        <v>0.13446998451401337</v>
      </c>
      <c r="H20" s="28">
        <f t="shared" ref="H20" si="7">IFERROR(H19/G19-1,"-")</f>
        <v>0.39732077138230526</v>
      </c>
      <c r="I20" s="28">
        <f t="shared" ref="I20" si="8">IFERROR(I19/H19-1,"-")</f>
        <v>0.22387273493468185</v>
      </c>
      <c r="J20" s="28">
        <f t="shared" ref="J20" si="9">IFERROR(J19/I19-1,"-")</f>
        <v>-7.6533606704907386E-2</v>
      </c>
      <c r="K20" s="28">
        <f t="shared" ref="K20" si="10">IFERROR(K19/J19-1,"-")</f>
        <v>0.11179845263416577</v>
      </c>
      <c r="L20" s="28">
        <f t="shared" ref="L20" si="11">IFERROR(L19/K19-1,"-")</f>
        <v>7.8079268292682968E-2</v>
      </c>
      <c r="M20" s="28">
        <f t="shared" ref="M20" si="12">IFERROR(M19/L19-1,"-")</f>
        <v>9.3577670314753503E-2</v>
      </c>
      <c r="N20" s="32">
        <f t="shared" ref="N20" si="13">IFERROR(N19/M19-1,"-")</f>
        <v>0.11009180243082484</v>
      </c>
      <c r="O20" s="32">
        <f t="shared" ref="O20" si="14">IFERROR(O19/N19-1,"-")</f>
        <v>0.12184568077386748</v>
      </c>
      <c r="P20" s="32">
        <f t="shared" ref="P20" si="15">IFERROR(P19/O19-1,"-")</f>
        <v>3.5222783456452911E-2</v>
      </c>
      <c r="Q20" s="32">
        <f t="shared" ref="Q20" si="16">IFERROR(Q19/P19-1,"-")</f>
        <v>8.2811810486620896E-2</v>
      </c>
      <c r="R20" s="3"/>
      <c r="S20" s="3"/>
      <c r="T20" s="3"/>
      <c r="U20" s="3"/>
      <c r="V20" s="3"/>
      <c r="W20" s="3"/>
    </row>
    <row r="21" spans="1:24" s="4" customFormat="1" x14ac:dyDescent="0.3">
      <c r="B21" s="26" t="s">
        <v>52</v>
      </c>
      <c r="C21" s="29">
        <f>SUM(C19/C27)</f>
        <v>0.33099078556342637</v>
      </c>
      <c r="D21" s="29">
        <f t="shared" ref="D21:P21" si="17">SUM(D19/D27)</f>
        <v>0.32343532837697719</v>
      </c>
      <c r="E21" s="29">
        <f t="shared" si="17"/>
        <v>0.30526913519166116</v>
      </c>
      <c r="F21" s="29">
        <f t="shared" si="17"/>
        <v>0.28282385878129734</v>
      </c>
      <c r="G21" s="29">
        <f t="shared" si="17"/>
        <v>0.26637126499882363</v>
      </c>
      <c r="H21" s="29">
        <f t="shared" si="17"/>
        <v>0.27045256744995649</v>
      </c>
      <c r="I21" s="29">
        <f t="shared" si="17"/>
        <v>0.27199024311334929</v>
      </c>
      <c r="J21" s="29">
        <f t="shared" si="17"/>
        <v>0.22959319666214642</v>
      </c>
      <c r="K21" s="29">
        <f t="shared" si="17"/>
        <v>0.22825926215889419</v>
      </c>
      <c r="L21" s="29">
        <f t="shared" si="17"/>
        <v>0.22252008193239634</v>
      </c>
      <c r="M21" s="29">
        <f t="shared" si="17"/>
        <v>0.21916519427744771</v>
      </c>
      <c r="N21" s="29">
        <f t="shared" si="17"/>
        <v>0.21878579610538373</v>
      </c>
      <c r="O21" s="29">
        <f t="shared" si="17"/>
        <v>0.22227671189565984</v>
      </c>
      <c r="P21" s="29">
        <f t="shared" si="17"/>
        <v>0.20893376890887488</v>
      </c>
      <c r="Q21" s="29">
        <f>SUM(Q19/Q27)</f>
        <v>0.20449543334886489</v>
      </c>
      <c r="R21" s="3"/>
      <c r="S21" s="3"/>
      <c r="T21" s="3"/>
      <c r="U21" s="3"/>
      <c r="V21" s="3"/>
      <c r="W21" s="3"/>
    </row>
    <row r="22" spans="1:24" s="4" customFormat="1" x14ac:dyDescent="0.3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4" customFormat="1" x14ac:dyDescent="0.3">
      <c r="B23" s="1" t="s">
        <v>4</v>
      </c>
      <c r="C23" s="3">
        <f>Segments!C9</f>
        <v>7880</v>
      </c>
      <c r="D23" s="3">
        <f>Segments!D9</f>
        <v>12219</v>
      </c>
      <c r="E23" s="3">
        <f>Segments!E9</f>
        <v>17459</v>
      </c>
      <c r="F23" s="3">
        <f>Segments!F9</f>
        <v>25655</v>
      </c>
      <c r="G23" s="3">
        <f>Segments!G9</f>
        <v>35026</v>
      </c>
      <c r="H23" s="3">
        <f>Segments!H9</f>
        <v>45370</v>
      </c>
      <c r="I23" s="3">
        <f>Segments!I9</f>
        <v>62202</v>
      </c>
      <c r="J23" s="3">
        <f>Segments!J9</f>
        <v>80096</v>
      </c>
      <c r="K23" s="3">
        <f>Segments!K9</f>
        <v>90757</v>
      </c>
      <c r="L23" s="3">
        <f>Segments!L9</f>
        <v>107555</v>
      </c>
      <c r="M23" s="3">
        <f>Segments!M9</f>
        <v>127628</v>
      </c>
      <c r="N23" s="3">
        <f>Segments!N9</f>
        <v>151647</v>
      </c>
      <c r="O23" s="3">
        <f>Segments!O9</f>
        <v>176580</v>
      </c>
      <c r="P23" s="3">
        <f>Segments!P9</f>
        <v>208724</v>
      </c>
      <c r="Q23" s="3">
        <f>Segments!Q9</f>
        <v>249139</v>
      </c>
      <c r="R23" s="3"/>
      <c r="S23" s="3"/>
      <c r="T23" s="3"/>
      <c r="U23" s="3"/>
      <c r="V23" s="3"/>
      <c r="W23" s="3"/>
    </row>
    <row r="24" spans="1:24" s="4" customFormat="1" x14ac:dyDescent="0.3">
      <c r="B24" s="26" t="s">
        <v>48</v>
      </c>
      <c r="C24" s="29" t="str">
        <f>IFERROR(C23/B23-1,"-")</f>
        <v>-</v>
      </c>
      <c r="D24" s="28">
        <f>IFERROR(D23/C23-1,"-")</f>
        <v>0.55063451776649752</v>
      </c>
      <c r="E24" s="28">
        <f t="shared" ref="E24" si="18">IFERROR(E23/D23-1,"-")</f>
        <v>0.42884033063262139</v>
      </c>
      <c r="F24" s="28">
        <f t="shared" ref="F24" si="19">IFERROR(F23/E23-1,"-")</f>
        <v>0.46944269431238905</v>
      </c>
      <c r="G24" s="28">
        <f t="shared" ref="G24" si="20">IFERROR(G23/F23-1,"-")</f>
        <v>0.36526992788930035</v>
      </c>
      <c r="H24" s="28">
        <f t="shared" ref="H24" si="21">IFERROR(H23/G23-1,"-")</f>
        <v>0.29532347399074976</v>
      </c>
      <c r="I24" s="28">
        <f t="shared" ref="I24" si="22">IFERROR(I23/H23-1,"-")</f>
        <v>0.37099404893101173</v>
      </c>
      <c r="J24" s="28">
        <f t="shared" ref="J24" si="23">IFERROR(J23/I23-1,"-")</f>
        <v>0.28767563743931057</v>
      </c>
      <c r="K24" s="28">
        <f t="shared" ref="K24" si="24">IFERROR(K23/J23-1,"-")</f>
        <v>0.13310277666799841</v>
      </c>
      <c r="L24" s="28">
        <f t="shared" ref="L24" si="25">IFERROR(L23/K23-1,"-")</f>
        <v>0.18508765164119567</v>
      </c>
      <c r="M24" s="28">
        <f t="shared" ref="M24" si="26">IFERROR(M23/L23-1,"-")</f>
        <v>0.18663009622983595</v>
      </c>
      <c r="N24" s="32">
        <f t="shared" ref="N24" si="27">IFERROR(N23/M23-1,"-")</f>
        <v>0.1881953803240668</v>
      </c>
      <c r="O24" s="32">
        <f t="shared" ref="O24" si="28">IFERROR(O23/N23-1,"-")</f>
        <v>0.16441472630516918</v>
      </c>
      <c r="P24" s="32">
        <f t="shared" ref="P24" si="29">IFERROR(P23/O23-1,"-")</f>
        <v>0.1820364707214861</v>
      </c>
      <c r="Q24" s="32">
        <f t="shared" ref="Q24" si="30">IFERROR(Q23/P23-1,"-")</f>
        <v>0.19362890707345581</v>
      </c>
      <c r="R24" s="3"/>
      <c r="S24" s="3"/>
      <c r="T24" s="3"/>
      <c r="U24" s="3"/>
      <c r="V24" s="3"/>
      <c r="W24" s="3"/>
    </row>
    <row r="25" spans="1:24" s="4" customFormat="1" x14ac:dyDescent="0.3">
      <c r="B25" s="26" t="s">
        <v>52</v>
      </c>
      <c r="C25" s="29">
        <f>SUM(C23/C27)</f>
        <v>7.3640730426331236E-2</v>
      </c>
      <c r="D25" s="29">
        <f t="shared" ref="D25:Q25" si="31">SUM(D23/D27)</f>
        <v>8.9854177237530058E-2</v>
      </c>
      <c r="E25" s="29">
        <f t="shared" si="31"/>
        <v>9.8158164011109481E-2</v>
      </c>
      <c r="F25" s="29">
        <f t="shared" si="31"/>
        <v>0.11016072172341093</v>
      </c>
      <c r="G25" s="29">
        <f t="shared" si="31"/>
        <v>0.12486008227518697</v>
      </c>
      <c r="H25" s="29">
        <f t="shared" si="31"/>
        <v>0.11751937502590244</v>
      </c>
      <c r="I25" s="29">
        <f t="shared" si="31"/>
        <v>0.13239482186870771</v>
      </c>
      <c r="J25" s="29">
        <f t="shared" si="31"/>
        <v>0.15583394781539467</v>
      </c>
      <c r="K25" s="29">
        <f t="shared" si="31"/>
        <v>0.15789730072983812</v>
      </c>
      <c r="L25" s="29">
        <f t="shared" si="31"/>
        <v>0.16920581581572133</v>
      </c>
      <c r="M25" s="29">
        <f t="shared" si="31"/>
        <v>0.18083537248023079</v>
      </c>
      <c r="N25" s="29">
        <f t="shared" si="31"/>
        <v>0.19322347472755141</v>
      </c>
      <c r="O25" s="29">
        <f t="shared" si="31"/>
        <v>0.20375547957771914</v>
      </c>
      <c r="P25" s="29">
        <f t="shared" si="31"/>
        <v>0.21868602309612067</v>
      </c>
      <c r="Q25" s="29">
        <f t="shared" si="31"/>
        <v>0.23594585175335916</v>
      </c>
      <c r="R25" s="3"/>
      <c r="S25" s="3"/>
      <c r="T25" s="3"/>
      <c r="U25" s="3"/>
      <c r="V25" s="3"/>
      <c r="W25" s="3"/>
    </row>
    <row r="26" spans="1:24" s="4" customFormat="1" x14ac:dyDescent="0.3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4" s="30" customFormat="1" x14ac:dyDescent="0.3">
      <c r="A27"/>
      <c r="B27" s="33" t="s">
        <v>47</v>
      </c>
      <c r="C27" s="34">
        <f>C15+C19+C23</f>
        <v>107006</v>
      </c>
      <c r="D27" s="34">
        <f>D15+D19+D23</f>
        <v>135987</v>
      </c>
      <c r="E27" s="34">
        <f>E15+E19+E23</f>
        <v>177866</v>
      </c>
      <c r="F27" s="34">
        <f>F15+F19+F23</f>
        <v>232887</v>
      </c>
      <c r="G27" s="34">
        <f>G15+G19+G23</f>
        <v>280522</v>
      </c>
      <c r="H27" s="34">
        <f>H15+H19+H23</f>
        <v>386064</v>
      </c>
      <c r="I27" s="34">
        <f>I15+I19+I23</f>
        <v>469822</v>
      </c>
      <c r="J27" s="34">
        <f>J15+J19+J23</f>
        <v>513983</v>
      </c>
      <c r="K27" s="34">
        <f>K15+K19+K23</f>
        <v>574785</v>
      </c>
      <c r="L27" s="34">
        <f>L15+L19+L23</f>
        <v>635646</v>
      </c>
      <c r="M27" s="34">
        <f>M15+M19+M23</f>
        <v>705769</v>
      </c>
      <c r="N27" s="34">
        <f>N15+N19+N23</f>
        <v>784827</v>
      </c>
      <c r="O27" s="34">
        <f>O15+O19+O23</f>
        <v>866627</v>
      </c>
      <c r="P27" s="34">
        <f>P15+P19+P23</f>
        <v>954446</v>
      </c>
      <c r="Q27" s="35">
        <f>Q15+Q19+Q23</f>
        <v>1055916</v>
      </c>
      <c r="R27" s="31"/>
      <c r="S27" s="31"/>
      <c r="T27" s="31"/>
      <c r="U27" s="31"/>
      <c r="V27" s="31"/>
    </row>
    <row r="28" spans="1:24" customFormat="1" x14ac:dyDescent="0.3">
      <c r="A28" s="4"/>
      <c r="B28" s="36" t="s">
        <v>48</v>
      </c>
      <c r="C28" s="37" t="str">
        <f>IFERROR(C27/B27-1,"-")</f>
        <v>-</v>
      </c>
      <c r="D28" s="38">
        <f>IFERROR(D27/C27-1,"-")</f>
        <v>0.27083528026465808</v>
      </c>
      <c r="E28" s="38">
        <f t="shared" ref="E28" si="32">IFERROR(E27/D27-1,"-")</f>
        <v>0.30796326119408479</v>
      </c>
      <c r="F28" s="38">
        <f t="shared" ref="F28" si="33">IFERROR(F27/E27-1,"-")</f>
        <v>0.3093396152159491</v>
      </c>
      <c r="G28" s="38">
        <f t="shared" ref="G28" si="34">IFERROR(G27/F27-1,"-")</f>
        <v>0.20454125820676983</v>
      </c>
      <c r="H28" s="38">
        <f t="shared" ref="H28" si="35">IFERROR(H27/G27-1,"-")</f>
        <v>0.37623430604373276</v>
      </c>
      <c r="I28" s="38">
        <f t="shared" ref="I28" si="36">IFERROR(I27/H27-1,"-")</f>
        <v>0.21695366571345676</v>
      </c>
      <c r="J28" s="38">
        <f t="shared" ref="J28" si="37">IFERROR(J27/I27-1,"-")</f>
        <v>9.399517263985091E-2</v>
      </c>
      <c r="K28" s="38">
        <f t="shared" ref="K28" si="38">IFERROR(K27/J27-1,"-")</f>
        <v>0.1182957412988368</v>
      </c>
      <c r="L28" s="38">
        <f t="shared" ref="L28" si="39">IFERROR(L27/K27-1,"-")</f>
        <v>0.10588480910253395</v>
      </c>
      <c r="M28" s="38">
        <f t="shared" ref="M28" si="40">IFERROR(M27/L27-1,"-")</f>
        <v>0.11031769255214385</v>
      </c>
      <c r="N28" s="38">
        <f t="shared" ref="N28" si="41">IFERROR(N27/M27-1,"-")</f>
        <v>0.11201682136789803</v>
      </c>
      <c r="O28" s="38">
        <f t="shared" ref="O28" si="42">IFERROR(O27/N27-1,"-")</f>
        <v>0.10422679138204982</v>
      </c>
      <c r="P28" s="38">
        <f t="shared" ref="P28" si="43">IFERROR(P27/O27-1,"-")</f>
        <v>0.10133425337544288</v>
      </c>
      <c r="Q28" s="39">
        <f t="shared" ref="Q28" si="44">IFERROR(Q27/P27-1,"-")</f>
        <v>0.10631298156207891</v>
      </c>
    </row>
    <row r="29" spans="1:24" customFormat="1" x14ac:dyDescent="0.3">
      <c r="A29" s="4"/>
      <c r="B29" s="2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24" s="4" customFormat="1" x14ac:dyDescent="0.3">
      <c r="A30" s="30"/>
      <c r="B30" s="24" t="s">
        <v>50</v>
      </c>
      <c r="C30" s="25">
        <v>2015</v>
      </c>
      <c r="D30" s="25">
        <v>2016</v>
      </c>
      <c r="E30" s="25">
        <v>2017</v>
      </c>
      <c r="F30" s="25">
        <v>2018</v>
      </c>
      <c r="G30" s="25">
        <v>2019</v>
      </c>
      <c r="H30" s="25">
        <v>2020</v>
      </c>
      <c r="I30" s="25">
        <v>2021</v>
      </c>
      <c r="J30" s="25">
        <v>2022</v>
      </c>
      <c r="K30" s="25">
        <v>2023</v>
      </c>
      <c r="L30" s="23">
        <v>2024</v>
      </c>
      <c r="M30" s="23">
        <v>2025</v>
      </c>
      <c r="N30" s="23">
        <v>2026</v>
      </c>
      <c r="O30" s="23">
        <v>2027</v>
      </c>
      <c r="P30" s="23">
        <v>2028</v>
      </c>
      <c r="Q30" s="23">
        <v>2029</v>
      </c>
      <c r="R30" s="16"/>
      <c r="S30" s="16"/>
      <c r="T30" s="16"/>
      <c r="U30" s="16"/>
      <c r="V30" s="16"/>
      <c r="W30" s="16"/>
      <c r="X30" s="16"/>
    </row>
    <row r="31" spans="1:24" s="4" customFormat="1" ht="4.95" customHeight="1" x14ac:dyDescent="0.3">
      <c r="A31"/>
    </row>
    <row r="32" spans="1:24" s="4" customFormat="1" x14ac:dyDescent="0.3">
      <c r="A32"/>
      <c r="B32" s="4" t="s">
        <v>2</v>
      </c>
      <c r="C32" s="40">
        <f>Segments!C12</f>
        <v>2751</v>
      </c>
      <c r="D32" s="40">
        <f>Segments!D12</f>
        <v>4099</v>
      </c>
      <c r="E32" s="40">
        <f>Segments!E12</f>
        <v>2837</v>
      </c>
      <c r="F32" s="40">
        <f>Segments!F12</f>
        <v>7267</v>
      </c>
      <c r="G32" s="40">
        <f>Segments!G12</f>
        <v>7033</v>
      </c>
      <c r="H32" s="40">
        <f>Segments!H12</f>
        <v>8651</v>
      </c>
      <c r="I32" s="40">
        <f>Segments!I12</f>
        <v>7271</v>
      </c>
      <c r="J32" s="40">
        <f>Segments!J12</f>
        <v>-2847</v>
      </c>
      <c r="K32" s="40">
        <f>Segments!K12</f>
        <v>14877</v>
      </c>
      <c r="L32" s="40">
        <f>Segments!L12</f>
        <v>23233.5</v>
      </c>
      <c r="M32" s="40">
        <f>Segments!M12</f>
        <v>31059.3</v>
      </c>
      <c r="N32" s="40">
        <f>Segments!N12</f>
        <v>34190</v>
      </c>
      <c r="O32" s="44">
        <f>SUM(O33*O15)</f>
        <v>36853.134953225665</v>
      </c>
      <c r="P32" s="44">
        <f t="shared" ref="P32:Q32" si="45">SUM(P33*P15)</f>
        <v>40475.354117593524</v>
      </c>
      <c r="Q32" s="44">
        <f t="shared" si="45"/>
        <v>43775.359513382209</v>
      </c>
      <c r="R32" s="3"/>
      <c r="S32" s="3"/>
      <c r="T32" s="3"/>
      <c r="U32" s="3"/>
      <c r="V32" s="3"/>
      <c r="W32" s="3"/>
    </row>
    <row r="33" spans="1:23" s="4" customFormat="1" x14ac:dyDescent="0.3">
      <c r="B33" s="26" t="s">
        <v>49</v>
      </c>
      <c r="C33" s="28">
        <f>IFERROR(C32/C15,"-")</f>
        <v>4.3181390092296101E-2</v>
      </c>
      <c r="D33" s="28">
        <f>IFERROR(D32/D15,"-")</f>
        <v>5.1375571849345117E-2</v>
      </c>
      <c r="E33" s="28">
        <f>IFERROR(E32/E15,"-")</f>
        <v>2.6736405616812741E-2</v>
      </c>
      <c r="F33" s="28">
        <f>IFERROR(F32/F15,"-")</f>
        <v>5.1405571353790869E-2</v>
      </c>
      <c r="G33" s="28">
        <f>IFERROR(G32/G15,"-")</f>
        <v>4.1183325232911523E-2</v>
      </c>
      <c r="H33" s="28">
        <f>IFERROR(H32/H15,"-")</f>
        <v>3.6613030192735797E-2</v>
      </c>
      <c r="I33" s="28">
        <f>IFERROR(I32/I15,"-")</f>
        <v>2.5983354357777676E-2</v>
      </c>
      <c r="J33" s="28">
        <f>IFERROR(J32/J15,"-")</f>
        <v>-9.0129162973280989E-3</v>
      </c>
      <c r="K33" s="28">
        <f>IFERROR(K32/K15,"-")</f>
        <v>4.2165020916707291E-2</v>
      </c>
      <c r="L33" s="28">
        <f>IFERROR(L32/L15,"-")</f>
        <v>6.0089694217205877E-2</v>
      </c>
      <c r="M33" s="28">
        <f>IFERROR(M32/M15,"-")</f>
        <v>7.3346305799117273E-2</v>
      </c>
      <c r="N33" s="28">
        <f>IFERROR(N32/N15,"-")</f>
        <v>7.4089162699281216E-2</v>
      </c>
      <c r="O33" s="43">
        <f>N33</f>
        <v>7.4089162699281216E-2</v>
      </c>
      <c r="P33" s="43">
        <f>O33</f>
        <v>7.4089162699281216E-2</v>
      </c>
      <c r="Q33" s="43">
        <f>P33</f>
        <v>7.4089162699281216E-2</v>
      </c>
    </row>
    <row r="34" spans="1:23" s="4" customFormat="1" x14ac:dyDescent="0.3">
      <c r="B34" s="26" t="s">
        <v>53</v>
      </c>
      <c r="C34" s="28">
        <f>(C32/C44)</f>
        <v>0.60822462967057267</v>
      </c>
      <c r="D34" s="28">
        <f t="shared" ref="D34:Q34" si="46">(D32/D44)</f>
        <v>0.55936135371179041</v>
      </c>
      <c r="E34" s="28">
        <f t="shared" si="46"/>
        <v>0.69094008767657089</v>
      </c>
      <c r="F34" s="28">
        <f t="shared" si="46"/>
        <v>0.58505756380323648</v>
      </c>
      <c r="G34" s="28">
        <f t="shared" si="46"/>
        <v>0.48366687297985006</v>
      </c>
      <c r="H34" s="28">
        <f t="shared" si="46"/>
        <v>0.3777894231189135</v>
      </c>
      <c r="I34" s="28">
        <f t="shared" si="46"/>
        <v>0.29225451183729251</v>
      </c>
      <c r="J34" s="28">
        <f t="shared" si="46"/>
        <v>-0.23244611365120835</v>
      </c>
      <c r="K34" s="28">
        <f t="shared" si="46"/>
        <v>0.40369586453923806</v>
      </c>
      <c r="L34" s="28">
        <f t="shared" si="46"/>
        <v>0.37310802266960247</v>
      </c>
      <c r="M34" s="28">
        <f t="shared" si="46"/>
        <v>0.39934601437652334</v>
      </c>
      <c r="N34" s="28">
        <f t="shared" si="46"/>
        <v>0.3495084494357672</v>
      </c>
      <c r="O34" s="28">
        <f t="shared" si="46"/>
        <v>0.31183187614074648</v>
      </c>
      <c r="P34" s="28">
        <f t="shared" si="46"/>
        <v>0.29578978128778427</v>
      </c>
      <c r="Q34" s="28">
        <f t="shared" si="46"/>
        <v>0.27652693961717978</v>
      </c>
    </row>
    <row r="35" spans="1:23" s="4" customFormat="1" x14ac:dyDescent="0.3"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3"/>
      <c r="S35" s="3"/>
      <c r="T35" s="3"/>
      <c r="U35" s="3"/>
      <c r="V35" s="3"/>
      <c r="W35" s="3"/>
    </row>
    <row r="36" spans="1:23" s="4" customFormat="1" x14ac:dyDescent="0.3">
      <c r="B36" s="4" t="s">
        <v>3</v>
      </c>
      <c r="C36" s="40">
        <f>Segments!C14</f>
        <v>-91</v>
      </c>
      <c r="D36" s="40">
        <f>Segments!D14</f>
        <v>-477</v>
      </c>
      <c r="E36" s="40">
        <f>Segments!E14</f>
        <v>-3062</v>
      </c>
      <c r="F36" s="40">
        <f>Segments!F14</f>
        <v>-2142</v>
      </c>
      <c r="G36" s="40">
        <f>Segments!G14</f>
        <v>-1693</v>
      </c>
      <c r="H36" s="40">
        <f>Segments!H14</f>
        <v>717</v>
      </c>
      <c r="I36" s="40">
        <f>Segments!I14</f>
        <v>-924</v>
      </c>
      <c r="J36" s="40">
        <f>Segments!J14</f>
        <v>-7746</v>
      </c>
      <c r="K36" s="40">
        <f>Segments!K14</f>
        <v>-2656</v>
      </c>
      <c r="L36" s="40">
        <f>Segments!L14</f>
        <v>1765.17</v>
      </c>
      <c r="M36" s="40">
        <f>Segments!M14</f>
        <v>3899.91</v>
      </c>
      <c r="N36" s="40">
        <f>Segments!N14</f>
        <v>9726</v>
      </c>
      <c r="O36" s="44">
        <f>SUM(O37*O19)</f>
        <v>10911.071091206635</v>
      </c>
      <c r="P36" s="44">
        <f t="shared" ref="P36:Q36" si="47">SUM(P37*P19)</f>
        <v>11295.38938553017</v>
      </c>
      <c r="Q36" s="44">
        <f t="shared" si="47"/>
        <v>12230.781030697284</v>
      </c>
      <c r="R36" s="40"/>
      <c r="S36" s="40"/>
      <c r="T36" s="40"/>
      <c r="U36" s="3"/>
      <c r="V36" s="3"/>
      <c r="W36" s="3"/>
    </row>
    <row r="37" spans="1:23" s="4" customFormat="1" x14ac:dyDescent="0.3">
      <c r="B37" s="26" t="s">
        <v>49</v>
      </c>
      <c r="C37" s="28">
        <f>IFERROR(C36/C19,"-")</f>
        <v>-2.5693150375515274E-3</v>
      </c>
      <c r="D37" s="28">
        <f>IFERROR(D36/D19,"-")</f>
        <v>-1.0845099242889298E-2</v>
      </c>
      <c r="E37" s="28">
        <f>IFERROR(E36/E19,"-")</f>
        <v>-5.6393539237895279E-2</v>
      </c>
      <c r="F37" s="28">
        <f>IFERROR(F36/F19,"-")</f>
        <v>-3.2520572070567515E-2</v>
      </c>
      <c r="G37" s="28">
        <f>IFERROR(G36/G19,"-")</f>
        <v>-2.2657013235549965E-2</v>
      </c>
      <c r="H37" s="28">
        <f>IFERROR(H36/H19,"-")</f>
        <v>6.8670267785312031E-3</v>
      </c>
      <c r="I37" s="28">
        <f>IFERROR(I36/I19,"-")</f>
        <v>-7.2307824739605746E-3</v>
      </c>
      <c r="J37" s="28">
        <f>IFERROR(J36/J19,"-")</f>
        <v>-6.5640173887989692E-2</v>
      </c>
      <c r="K37" s="28">
        <f>IFERROR(K36/K19,"-")</f>
        <v>-2.0243902439024391E-2</v>
      </c>
      <c r="L37" s="28">
        <f>IFERROR(L36/L19,"-")</f>
        <v>1.247963858488165E-2</v>
      </c>
      <c r="M37" s="28">
        <f>IFERROR(M36/M19,"-")</f>
        <v>2.5212761830876649E-2</v>
      </c>
      <c r="N37" s="28">
        <f>IFERROR(N36/N19,"-")</f>
        <v>5.6642342567949262E-2</v>
      </c>
      <c r="O37" s="43">
        <f>N37</f>
        <v>5.6642342567949262E-2</v>
      </c>
      <c r="P37" s="43">
        <f t="shared" ref="P37:Q37" si="48">O37</f>
        <v>5.6642342567949262E-2</v>
      </c>
      <c r="Q37" s="43">
        <f t="shared" si="48"/>
        <v>5.6642342567949262E-2</v>
      </c>
      <c r="R37" s="28"/>
      <c r="S37" s="3"/>
      <c r="T37" s="3"/>
      <c r="U37" s="3"/>
      <c r="V37" s="3"/>
      <c r="W37" s="3"/>
    </row>
    <row r="38" spans="1:23" s="4" customFormat="1" x14ac:dyDescent="0.3">
      <c r="B38" s="26" t="s">
        <v>53</v>
      </c>
      <c r="C38" s="28">
        <f>C36/C44</f>
        <v>-2.0119389785540572E-2</v>
      </c>
      <c r="D38" s="28">
        <f t="shared" ref="D38:Q38" si="49">D36/D44</f>
        <v>-6.5092794759825323E-2</v>
      </c>
      <c r="E38" s="28">
        <f t="shared" si="49"/>
        <v>-0.7457379444715051</v>
      </c>
      <c r="F38" s="28">
        <f t="shared" si="49"/>
        <v>-0.17244988326221722</v>
      </c>
      <c r="G38" s="28">
        <f t="shared" si="49"/>
        <v>-0.11642940650574238</v>
      </c>
      <c r="H38" s="28">
        <f t="shared" si="49"/>
        <v>3.1311410978645357E-2</v>
      </c>
      <c r="I38" s="28">
        <f t="shared" si="49"/>
        <v>-3.7139756421078016E-2</v>
      </c>
      <c r="J38" s="28">
        <f t="shared" si="49"/>
        <v>-0.63242978445460485</v>
      </c>
      <c r="K38" s="28">
        <f t="shared" si="49"/>
        <v>-7.2072072072072071E-2</v>
      </c>
      <c r="L38" s="28">
        <f t="shared" si="49"/>
        <v>2.8346959707995018E-2</v>
      </c>
      <c r="M38" s="28">
        <f t="shared" si="49"/>
        <v>5.0143226503081111E-2</v>
      </c>
      <c r="N38" s="28">
        <f t="shared" si="49"/>
        <v>9.9424369090736237E-2</v>
      </c>
      <c r="O38" s="28">
        <f t="shared" si="49"/>
        <v>9.2323754095666746E-2</v>
      </c>
      <c r="P38" s="28">
        <f t="shared" si="49"/>
        <v>8.254555960645843E-2</v>
      </c>
      <c r="Q38" s="28">
        <f t="shared" si="49"/>
        <v>7.7261283177186682E-2</v>
      </c>
      <c r="R38" s="28"/>
      <c r="S38" s="3"/>
      <c r="T38" s="3"/>
      <c r="U38" s="3"/>
      <c r="V38" s="3"/>
      <c r="W38" s="3"/>
    </row>
    <row r="39" spans="1:23" s="4" customFormat="1" x14ac:dyDescent="0.3"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3"/>
      <c r="S39" s="3"/>
      <c r="T39" s="3"/>
      <c r="U39" s="3"/>
      <c r="V39" s="3"/>
      <c r="W39" s="3"/>
    </row>
    <row r="40" spans="1:23" s="4" customFormat="1" x14ac:dyDescent="0.3">
      <c r="B40" s="4" t="s">
        <v>4</v>
      </c>
      <c r="C40" s="40">
        <f>Segments!C15</f>
        <v>1863</v>
      </c>
      <c r="D40" s="40">
        <f>Segments!D15</f>
        <v>3706</v>
      </c>
      <c r="E40" s="40">
        <f>Segments!E15</f>
        <v>4331</v>
      </c>
      <c r="F40" s="40">
        <f>Segments!F15</f>
        <v>7296</v>
      </c>
      <c r="G40" s="40">
        <f>Segments!G15</f>
        <v>9201</v>
      </c>
      <c r="H40" s="40">
        <f>Segments!H15</f>
        <v>13531</v>
      </c>
      <c r="I40" s="40">
        <f>Segments!I15</f>
        <v>18532</v>
      </c>
      <c r="J40" s="40">
        <f>Segments!J15</f>
        <v>22841</v>
      </c>
      <c r="K40" s="40">
        <f>Segments!K15</f>
        <v>24631</v>
      </c>
      <c r="L40" s="40">
        <f>Segments!L15</f>
        <v>37271.5</v>
      </c>
      <c r="M40" s="40">
        <f>Segments!M15</f>
        <v>42816.2</v>
      </c>
      <c r="N40" s="40">
        <f>Segments!N15</f>
        <v>53907.1</v>
      </c>
      <c r="O40" s="40">
        <f>Segments!O15</f>
        <v>70418.5</v>
      </c>
      <c r="P40" s="40">
        <f>Segments!P15</f>
        <v>85067.5</v>
      </c>
      <c r="Q40" s="40">
        <f>Segments!Q15</f>
        <v>102298</v>
      </c>
      <c r="R40" s="3"/>
      <c r="S40" s="3"/>
      <c r="T40" s="3"/>
      <c r="U40" s="3"/>
      <c r="V40" s="3"/>
      <c r="W40" s="3"/>
    </row>
    <row r="41" spans="1:23" s="4" customFormat="1" x14ac:dyDescent="0.3">
      <c r="B41" s="26" t="s">
        <v>49</v>
      </c>
      <c r="C41" s="28">
        <f>IFERROR(C40/C23,"-")</f>
        <v>0.23642131979695433</v>
      </c>
      <c r="D41" s="28">
        <f>IFERROR(D40/D23,"-")</f>
        <v>0.30329814223749896</v>
      </c>
      <c r="E41" s="28">
        <f>IFERROR(E40/E23,"-")</f>
        <v>0.24806689959333295</v>
      </c>
      <c r="F41" s="28">
        <f>IFERROR(F40/F23,"-")</f>
        <v>0.28438900799064509</v>
      </c>
      <c r="G41" s="28">
        <f>IFERROR(G40/G23,"-")</f>
        <v>0.26269057271740992</v>
      </c>
      <c r="H41" s="28">
        <f>IFERROR(H40/H23,"-")</f>
        <v>0.29823672029975756</v>
      </c>
      <c r="I41" s="28">
        <f>IFERROR(I40/I23,"-")</f>
        <v>0.29793254236198191</v>
      </c>
      <c r="J41" s="28">
        <f>IFERROR(J40/J23,"-")</f>
        <v>0.28517029564522572</v>
      </c>
      <c r="K41" s="28">
        <f>IFERROR(K40/K23,"-")</f>
        <v>0.27139504390845887</v>
      </c>
      <c r="L41" s="28">
        <f>IFERROR(L40/L23,"-")</f>
        <v>0.34653433127237226</v>
      </c>
      <c r="M41" s="28">
        <f>IFERROR(M40/M23,"-")</f>
        <v>0.33547654119785625</v>
      </c>
      <c r="N41" s="28">
        <f>IFERROR(N40/N23,"-")</f>
        <v>0.3554775234590859</v>
      </c>
      <c r="O41" s="28">
        <f>IFERROR(O40/O23,"-")</f>
        <v>0.39879091629856156</v>
      </c>
      <c r="P41" s="28">
        <f>IFERROR(P40/P23,"-")</f>
        <v>0.40755974396811101</v>
      </c>
      <c r="Q41" s="28">
        <f>IFERROR(Q40/Q23,"-")</f>
        <v>0.41060612750312075</v>
      </c>
      <c r="R41" s="3"/>
      <c r="S41" s="3"/>
      <c r="T41" s="3"/>
      <c r="U41" s="3"/>
      <c r="V41" s="3"/>
      <c r="W41" s="3"/>
    </row>
    <row r="42" spans="1:23" s="4" customFormat="1" x14ac:dyDescent="0.3">
      <c r="B42" s="26" t="s">
        <v>53</v>
      </c>
      <c r="C42" s="28">
        <f>C40/C44</f>
        <v>0.41189476011496795</v>
      </c>
      <c r="D42" s="28">
        <f t="shared" ref="D42:Q42" si="50">D40/D44</f>
        <v>0.50573144104803491</v>
      </c>
      <c r="E42" s="28">
        <f t="shared" si="50"/>
        <v>1.0547978567949343</v>
      </c>
      <c r="F42" s="28">
        <f t="shared" si="50"/>
        <v>0.58739231945898074</v>
      </c>
      <c r="G42" s="28">
        <f t="shared" si="50"/>
        <v>0.63276253352589229</v>
      </c>
      <c r="H42" s="28">
        <f t="shared" si="50"/>
        <v>0.59089916590244118</v>
      </c>
      <c r="I42" s="28">
        <f t="shared" si="50"/>
        <v>0.74488524458378558</v>
      </c>
      <c r="J42" s="28">
        <f t="shared" si="50"/>
        <v>1.8648758981058131</v>
      </c>
      <c r="K42" s="28">
        <f t="shared" si="50"/>
        <v>0.668376207532834</v>
      </c>
      <c r="L42" s="28">
        <f t="shared" si="50"/>
        <v>0.59854501762240253</v>
      </c>
      <c r="M42" s="28">
        <f t="shared" si="50"/>
        <v>0.55051075912039549</v>
      </c>
      <c r="N42" s="28">
        <f t="shared" si="50"/>
        <v>0.55106718147349654</v>
      </c>
      <c r="O42" s="28">
        <f t="shared" si="50"/>
        <v>0.59584436976358679</v>
      </c>
      <c r="P42" s="28">
        <f t="shared" si="50"/>
        <v>0.6216646591057573</v>
      </c>
      <c r="Q42" s="28">
        <f t="shared" si="50"/>
        <v>0.64621177720563361</v>
      </c>
      <c r="R42" s="3"/>
      <c r="S42" s="3"/>
      <c r="T42" s="3"/>
      <c r="U42" s="3"/>
      <c r="V42" s="3"/>
      <c r="W42" s="3"/>
    </row>
    <row r="43" spans="1:23" s="4" customFormat="1" x14ac:dyDescent="0.3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s="30" customFormat="1" x14ac:dyDescent="0.3">
      <c r="A44" s="4"/>
      <c r="B44" s="33" t="s">
        <v>47</v>
      </c>
      <c r="C44" s="34">
        <f>C32+C36+C40</f>
        <v>4523</v>
      </c>
      <c r="D44" s="34">
        <f>D32+D36+D40</f>
        <v>7328</v>
      </c>
      <c r="E44" s="34">
        <f>E32+E36+E40</f>
        <v>4106</v>
      </c>
      <c r="F44" s="34">
        <f>F32+F36+F40</f>
        <v>12421</v>
      </c>
      <c r="G44" s="34">
        <f>G32+G36+G40</f>
        <v>14541</v>
      </c>
      <c r="H44" s="34">
        <f>H32+H36+H40</f>
        <v>22899</v>
      </c>
      <c r="I44" s="34">
        <f>I32+I36+I40</f>
        <v>24879</v>
      </c>
      <c r="J44" s="34">
        <f>J32+J36+J40</f>
        <v>12248</v>
      </c>
      <c r="K44" s="34">
        <f>K32+K36+K40</f>
        <v>36852</v>
      </c>
      <c r="L44" s="34">
        <f>L32+L36+L40</f>
        <v>62270.17</v>
      </c>
      <c r="M44" s="34">
        <f>M32+M36+M40</f>
        <v>77775.41</v>
      </c>
      <c r="N44" s="34">
        <f>N32+N36+N40</f>
        <v>97823.1</v>
      </c>
      <c r="O44" s="34">
        <f>O32+O36+O40</f>
        <v>118182.7060444323</v>
      </c>
      <c r="P44" s="34">
        <f>P32+P36+P40</f>
        <v>136838.2435031237</v>
      </c>
      <c r="Q44" s="35">
        <f>Q32+Q36+Q40</f>
        <v>158304.14054407948</v>
      </c>
      <c r="R44" s="31"/>
      <c r="S44" s="31"/>
      <c r="T44" s="31"/>
      <c r="U44" s="31"/>
      <c r="V44" s="31"/>
    </row>
    <row r="45" spans="1:23" s="4" customFormat="1" x14ac:dyDescent="0.3">
      <c r="B45" s="41" t="s">
        <v>49</v>
      </c>
      <c r="C45" s="37">
        <f>C44/C27</f>
        <v>4.2268657832271087E-2</v>
      </c>
      <c r="D45" s="37">
        <f>D44/D27</f>
        <v>5.3887503952583703E-2</v>
      </c>
      <c r="E45" s="37">
        <f>E44/E27</f>
        <v>2.3084794170892695E-2</v>
      </c>
      <c r="F45" s="37">
        <f>F44/F27</f>
        <v>5.3334879147397665E-2</v>
      </c>
      <c r="G45" s="37">
        <f>G44/G27</f>
        <v>5.1835506662579051E-2</v>
      </c>
      <c r="H45" s="37">
        <f>H44/H27</f>
        <v>5.9313999751336569E-2</v>
      </c>
      <c r="I45" s="37">
        <f>I44/I27</f>
        <v>5.2954097509269465E-2</v>
      </c>
      <c r="J45" s="37">
        <f>J44/J27</f>
        <v>2.3829581912242232E-2</v>
      </c>
      <c r="K45" s="37">
        <f>K44/K27</f>
        <v>6.4114407996033296E-2</v>
      </c>
      <c r="L45" s="37">
        <f>L44/L27</f>
        <v>9.7963599236052773E-2</v>
      </c>
      <c r="M45" s="37">
        <f>M44/M27</f>
        <v>0.1101995270407173</v>
      </c>
      <c r="N45" s="37">
        <f>N44/N27</f>
        <v>0.12464288308123957</v>
      </c>
      <c r="O45" s="37">
        <f>O44/O27</f>
        <v>0.1363709024118015</v>
      </c>
      <c r="P45" s="37">
        <f>P44/P27</f>
        <v>0.14336928805099891</v>
      </c>
      <c r="Q45" s="42">
        <f>Q44/Q27</f>
        <v>0.14992114954606189</v>
      </c>
    </row>
    <row r="46" spans="1:23" customFormat="1" x14ac:dyDescent="0.3">
      <c r="A46" s="4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</row>
    <row r="47" spans="1:23" customFormat="1" x14ac:dyDescent="0.3">
      <c r="A47" s="30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</row>
    <row r="48" spans="1:23" customFormat="1" x14ac:dyDescent="0.3">
      <c r="A48" s="4"/>
      <c r="B48" s="24" t="s">
        <v>56</v>
      </c>
      <c r="C48" s="25">
        <v>2015</v>
      </c>
      <c r="D48" s="25">
        <v>2016</v>
      </c>
      <c r="E48" s="25">
        <v>2017</v>
      </c>
      <c r="F48" s="25">
        <v>2018</v>
      </c>
      <c r="G48" s="25">
        <v>2019</v>
      </c>
      <c r="H48" s="25">
        <v>2020</v>
      </c>
      <c r="I48" s="25">
        <v>2021</v>
      </c>
      <c r="J48" s="25">
        <v>2022</v>
      </c>
      <c r="K48" s="25">
        <v>2023</v>
      </c>
      <c r="L48" s="23">
        <v>2024</v>
      </c>
      <c r="M48" s="23">
        <v>2025</v>
      </c>
      <c r="N48" s="23">
        <v>2026</v>
      </c>
      <c r="O48" s="23">
        <v>2027</v>
      </c>
      <c r="P48" s="23">
        <v>2028</v>
      </c>
      <c r="Q48" s="23">
        <v>2029</v>
      </c>
    </row>
    <row r="49" spans="2:20" customFormat="1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2:20" customFormat="1" x14ac:dyDescent="0.3">
      <c r="B50" s="4" t="s">
        <v>56</v>
      </c>
      <c r="C50" s="40">
        <f>'Income statement'!C31</f>
        <v>950</v>
      </c>
      <c r="D50" s="40">
        <f>'Income statement'!D31</f>
        <v>1425</v>
      </c>
      <c r="E50" s="40">
        <f>'Income statement'!E31</f>
        <v>769</v>
      </c>
      <c r="F50" s="40">
        <f>'Income statement'!F31</f>
        <v>1197</v>
      </c>
      <c r="G50" s="40">
        <f>'Income statement'!G31</f>
        <v>2374</v>
      </c>
      <c r="H50" s="40">
        <f>'Income statement'!H31</f>
        <v>2863</v>
      </c>
      <c r="I50" s="40">
        <f>'Income statement'!I31</f>
        <v>4791</v>
      </c>
      <c r="J50" s="40">
        <f>'Income statement'!J31</f>
        <v>-3217</v>
      </c>
      <c r="K50" s="40">
        <f>'Income statement'!K31</f>
        <v>7120</v>
      </c>
      <c r="L50" s="40">
        <f>'Income statement'!L31</f>
        <v>9602</v>
      </c>
      <c r="M50" s="40"/>
      <c r="N50" s="40"/>
      <c r="O50" s="40"/>
      <c r="P50" s="40"/>
      <c r="Q50" s="40"/>
    </row>
    <row r="51" spans="2:20" customFormat="1" x14ac:dyDescent="0.3">
      <c r="B51" s="26" t="s">
        <v>57</v>
      </c>
      <c r="C51" s="28">
        <f>IF(C50&lt;0,"-",('Income statement'!C31/'Income statement'!C30))</f>
        <v>0.60586734693877553</v>
      </c>
      <c r="D51" s="28">
        <f>IF(D50&lt;0,"-",('Income statement'!D31/'Income statement'!D30))</f>
        <v>0.36613566289825283</v>
      </c>
      <c r="E51" s="28">
        <f>IF(E50&lt;0,"-",('Income statement'!E31/'Income statement'!E30))</f>
        <v>0.20204939569101418</v>
      </c>
      <c r="F51" s="28">
        <f>IF(F50&lt;0,"-",('Income statement'!F31/'Income statement'!F30))</f>
        <v>0.10629606606873279</v>
      </c>
      <c r="G51" s="28">
        <f>IF(G50&lt;0,"-",('Income statement'!G31/'Income statement'!G30))</f>
        <v>0.16986262163709215</v>
      </c>
      <c r="H51" s="28">
        <f>IF(H50&lt;0,"-",('Income statement'!H31/'Income statement'!H30))</f>
        <v>0.1184134337000579</v>
      </c>
      <c r="I51" s="28">
        <f>IF(I50&lt;0,"-",('Income statement'!I31/'Income statement'!I30))</f>
        <v>0.12557993237398757</v>
      </c>
      <c r="J51" s="28" t="str">
        <f>IF(J50&lt;0,"-",('Income statement'!J31/'Income statement'!J30))</f>
        <v>-</v>
      </c>
      <c r="K51" s="28">
        <f>IF(K50&lt;0,"-",('Income statement'!K31/'Income statement'!K30))</f>
        <v>0.18957850733551668</v>
      </c>
      <c r="L51" s="28">
        <f>IF(L50&lt;0,"-",('Income statement'!L31/'Income statement'!L30))</f>
        <v>0.17747629521468311</v>
      </c>
      <c r="M51" s="113">
        <f t="shared" ref="M51:Q51" si="51">AVERAGE(H51:L51)</f>
        <v>0.15276204215606132</v>
      </c>
      <c r="N51" s="113">
        <f t="shared" si="51"/>
        <v>0.16134919427006217</v>
      </c>
      <c r="O51" s="113">
        <f t="shared" si="51"/>
        <v>0.1702915097440808</v>
      </c>
      <c r="P51" s="113">
        <f t="shared" si="51"/>
        <v>0.1702915097440808</v>
      </c>
      <c r="Q51" s="113">
        <f t="shared" si="51"/>
        <v>0.16643411022579363</v>
      </c>
      <c r="R51" s="113"/>
    </row>
    <row r="52" spans="2:20" customFormat="1" x14ac:dyDescent="0.3"/>
    <row r="53" spans="2:20" customFormat="1" x14ac:dyDescent="0.3">
      <c r="B53" s="24" t="s">
        <v>113</v>
      </c>
      <c r="C53" s="25">
        <v>2015</v>
      </c>
      <c r="D53" s="25">
        <v>2016</v>
      </c>
      <c r="E53" s="25">
        <v>2017</v>
      </c>
      <c r="F53" s="25">
        <v>2018</v>
      </c>
      <c r="G53" s="25">
        <v>2019</v>
      </c>
      <c r="H53" s="25">
        <v>2020</v>
      </c>
      <c r="I53" s="25">
        <v>2021</v>
      </c>
      <c r="J53" s="25">
        <v>2022</v>
      </c>
      <c r="K53" s="25">
        <v>2023</v>
      </c>
      <c r="L53" s="23">
        <v>2024</v>
      </c>
      <c r="M53" s="23">
        <v>2025</v>
      </c>
      <c r="N53" s="23">
        <v>2026</v>
      </c>
      <c r="O53" s="23">
        <v>2027</v>
      </c>
      <c r="P53" s="23">
        <v>2028</v>
      </c>
      <c r="Q53" s="23">
        <v>2029</v>
      </c>
    </row>
    <row r="54" spans="2:20" customFormat="1" ht="5.4" customHeight="1" x14ac:dyDescent="0.3"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</row>
    <row r="55" spans="2:20" customFormat="1" x14ac:dyDescent="0.3">
      <c r="B55" s="47" t="s">
        <v>114</v>
      </c>
      <c r="C55" s="40">
        <f>CFS!C12</f>
        <v>5646</v>
      </c>
      <c r="D55" s="40">
        <f>CFS!D12</f>
        <v>7482</v>
      </c>
      <c r="E55" s="40">
        <f>CFS!E12</f>
        <v>10933</v>
      </c>
      <c r="F55" s="40">
        <f>CFS!F12</f>
        <v>15341</v>
      </c>
      <c r="G55" s="40">
        <f>CFS!G12</f>
        <v>21789</v>
      </c>
      <c r="H55" s="40">
        <f>CFS!H12</f>
        <v>25251</v>
      </c>
      <c r="I55" s="40">
        <f>CFS!I12</f>
        <v>34296</v>
      </c>
      <c r="J55" s="40">
        <f>CFS!J12</f>
        <v>41921</v>
      </c>
      <c r="K55" s="40">
        <f>CFS!K12</f>
        <v>48663</v>
      </c>
      <c r="L55" s="40">
        <f>CFS!L12</f>
        <v>49673</v>
      </c>
      <c r="M55" s="112">
        <f>M56*$M$27</f>
        <v>54029.981256774641</v>
      </c>
      <c r="N55" s="112">
        <f t="shared" ref="N55:Q55" si="52">N56*N27</f>
        <v>61832.178815252708</v>
      </c>
      <c r="O55" s="112">
        <f t="shared" si="52"/>
        <v>69279.715031460539</v>
      </c>
      <c r="P55" s="112">
        <f t="shared" si="52"/>
        <v>75991.021748701343</v>
      </c>
      <c r="Q55" s="112">
        <f t="shared" si="52"/>
        <v>83004.429599953422</v>
      </c>
      <c r="R55" s="40"/>
    </row>
    <row r="56" spans="2:20" customFormat="1" x14ac:dyDescent="0.3">
      <c r="B56" s="26" t="s">
        <v>49</v>
      </c>
      <c r="C56" s="28">
        <f>C55/C$27</f>
        <v>5.2763396445059153E-2</v>
      </c>
      <c r="D56" s="28">
        <f t="shared" ref="D56:L56" si="53">D55/D$27</f>
        <v>5.5019965143726972E-2</v>
      </c>
      <c r="E56" s="28">
        <f t="shared" si="53"/>
        <v>6.1467621692734981E-2</v>
      </c>
      <c r="F56" s="28">
        <f t="shared" si="53"/>
        <v>6.5873148780309768E-2</v>
      </c>
      <c r="G56" s="28">
        <f t="shared" si="53"/>
        <v>7.7673052380918428E-2</v>
      </c>
      <c r="H56" s="28">
        <f t="shared" si="53"/>
        <v>6.5406253885366153E-2</v>
      </c>
      <c r="I56" s="28">
        <f t="shared" si="53"/>
        <v>7.2997858763531723E-2</v>
      </c>
      <c r="J56" s="28">
        <f t="shared" si="53"/>
        <v>8.1561063303650122E-2</v>
      </c>
      <c r="K56" s="28">
        <f t="shared" si="53"/>
        <v>8.4662960933218512E-2</v>
      </c>
      <c r="L56" s="28">
        <f t="shared" si="53"/>
        <v>7.8145697447950593E-2</v>
      </c>
      <c r="M56" s="113">
        <f>AVERAGE(H56:L56)</f>
        <v>7.6554766866743423E-2</v>
      </c>
      <c r="N56" s="113">
        <f t="shared" ref="N56:Q56" si="54">AVERAGE(I56:M56)</f>
        <v>7.8784469463018869E-2</v>
      </c>
      <c r="O56" s="113">
        <f t="shared" si="54"/>
        <v>7.9941791602916298E-2</v>
      </c>
      <c r="P56" s="113">
        <f t="shared" si="54"/>
        <v>7.9617937262769542E-2</v>
      </c>
      <c r="Q56" s="113">
        <f t="shared" si="54"/>
        <v>7.8608932528679759E-2</v>
      </c>
      <c r="R56" s="28"/>
    </row>
    <row r="57" spans="2:20" customFormat="1" x14ac:dyDescent="0.3">
      <c r="B57" s="26" t="s">
        <v>115</v>
      </c>
      <c r="C57" s="28">
        <f>C55/C59</f>
        <v>1.2303334059707998</v>
      </c>
      <c r="D57" s="28">
        <f t="shared" ref="D57:L57" si="55">D55/D59</f>
        <v>1.1105833457028351</v>
      </c>
      <c r="E57" s="28">
        <f t="shared" si="55"/>
        <v>0.91451275616896699</v>
      </c>
      <c r="F57" s="28">
        <f t="shared" si="55"/>
        <v>1.142548596112311</v>
      </c>
      <c r="G57" s="28">
        <f t="shared" si="55"/>
        <v>1.2922721072297016</v>
      </c>
      <c r="H57" s="28">
        <f t="shared" si="55"/>
        <v>0.62907324364723471</v>
      </c>
      <c r="I57" s="28">
        <f t="shared" si="55"/>
        <v>0.56174143776718588</v>
      </c>
      <c r="J57" s="28">
        <f t="shared" si="55"/>
        <v>0.65866918061120272</v>
      </c>
      <c r="K57" s="28">
        <f t="shared" si="55"/>
        <v>0.92288873295529972</v>
      </c>
      <c r="L57" s="28">
        <f t="shared" si="55"/>
        <v>0.8332718244648728</v>
      </c>
      <c r="M57" s="28"/>
    </row>
    <row r="58" spans="2:20" customFormat="1" x14ac:dyDescent="0.3">
      <c r="M58" s="28"/>
    </row>
    <row r="59" spans="2:20" customFormat="1" x14ac:dyDescent="0.3">
      <c r="B59" t="s">
        <v>116</v>
      </c>
      <c r="C59" s="40">
        <f>-CFS!C27</f>
        <v>4589</v>
      </c>
      <c r="D59" s="40">
        <f>-CFS!D27</f>
        <v>6737</v>
      </c>
      <c r="E59" s="40">
        <f>-CFS!E27</f>
        <v>11955</v>
      </c>
      <c r="F59" s="40">
        <f>-CFS!F27</f>
        <v>13427</v>
      </c>
      <c r="G59" s="40">
        <f>-CFS!G27</f>
        <v>16861</v>
      </c>
      <c r="H59" s="40">
        <f>-CFS!H27</f>
        <v>40140</v>
      </c>
      <c r="I59" s="40">
        <f>-CFS!I27</f>
        <v>61053</v>
      </c>
      <c r="J59" s="40">
        <f>-CFS!J27</f>
        <v>63645</v>
      </c>
      <c r="K59" s="40">
        <f>-CFS!K27</f>
        <v>52729</v>
      </c>
      <c r="L59" s="40">
        <f>-CFS!L27</f>
        <v>59612</v>
      </c>
      <c r="M59" s="112">
        <f>M60*M$27</f>
        <v>76684.248774544845</v>
      </c>
      <c r="N59" s="112">
        <f t="shared" ref="N59:Q59" si="56">N60*N27</f>
        <v>82014.262382463799</v>
      </c>
      <c r="O59" s="112">
        <f t="shared" si="56"/>
        <v>86374.965459393483</v>
      </c>
      <c r="P59" s="112">
        <f t="shared" si="56"/>
        <v>97020.153340654288</v>
      </c>
      <c r="Q59" s="112">
        <f t="shared" si="56"/>
        <v>109411.90392556552</v>
      </c>
      <c r="R59" s="106"/>
      <c r="S59" s="106"/>
      <c r="T59" s="106"/>
    </row>
    <row r="60" spans="2:20" customFormat="1" x14ac:dyDescent="0.3">
      <c r="B60" s="26" t="s">
        <v>49</v>
      </c>
      <c r="C60" s="28">
        <f>C59/C$27</f>
        <v>4.2885445675943407E-2</v>
      </c>
      <c r="D60" s="28">
        <f t="shared" ref="D60" si="57">D59/D$27</f>
        <v>4.9541500290468943E-2</v>
      </c>
      <c r="E60" s="28">
        <f t="shared" ref="E60" si="58">E59/E$27</f>
        <v>6.7213520290555814E-2</v>
      </c>
      <c r="F60" s="28">
        <f t="shared" ref="F60" si="59">F59/F$27</f>
        <v>5.7654570671613274E-2</v>
      </c>
      <c r="G60" s="28">
        <f t="shared" ref="G60" si="60">G59/G$27</f>
        <v>6.0105802753438235E-2</v>
      </c>
      <c r="H60" s="28">
        <f t="shared" ref="H60" si="61">H59/H$27</f>
        <v>0.10397239835882134</v>
      </c>
      <c r="I60" s="28">
        <f t="shared" ref="I60" si="62">I59/I$27</f>
        <v>0.12994921480901278</v>
      </c>
      <c r="J60" s="28">
        <f t="shared" ref="J60" si="63">J59/J$27</f>
        <v>0.12382705264571008</v>
      </c>
      <c r="K60" s="28">
        <f t="shared" ref="K60" si="64">K59/K$27</f>
        <v>9.1736910322990334E-2</v>
      </c>
      <c r="L60" s="28">
        <f t="shared" ref="L60:M60" si="65">L59/L$27</f>
        <v>9.3781759029396866E-2</v>
      </c>
      <c r="M60" s="113">
        <f>AVERAGE(H60:L60)</f>
        <v>0.10865346703318628</v>
      </c>
      <c r="N60" s="113">
        <f t="shared" ref="N60" si="66">AVERAGE(J60:M60)</f>
        <v>0.1044997972578209</v>
      </c>
      <c r="O60" s="113">
        <f t="shared" ref="O60" si="67">AVERAGE(K60:N60)</f>
        <v>9.9667983410848593E-2</v>
      </c>
      <c r="P60" s="113">
        <f t="shared" ref="P60" si="68">AVERAGE(L60:O60)</f>
        <v>0.10165075168281315</v>
      </c>
      <c r="Q60" s="113">
        <f t="shared" ref="Q60" si="69">AVERAGE(M60:P60)</f>
        <v>0.10361799984616724</v>
      </c>
    </row>
    <row r="61" spans="2:20" customFormat="1" x14ac:dyDescent="0.3">
      <c r="M61" s="28"/>
    </row>
    <row r="62" spans="2:20" customFormat="1" x14ac:dyDescent="0.3">
      <c r="B62" t="s">
        <v>117</v>
      </c>
      <c r="C62" s="40">
        <f>CFS!C19</f>
        <v>2557</v>
      </c>
      <c r="D62" s="40">
        <f>CFS!D19</f>
        <v>3916</v>
      </c>
      <c r="E62" s="40">
        <f>CFS!E19</f>
        <v>-173</v>
      </c>
      <c r="F62" s="40">
        <f>CFS!F19</f>
        <v>-1043</v>
      </c>
      <c r="G62" s="40">
        <f>CFS!G19</f>
        <v>-2438</v>
      </c>
      <c r="H62" s="40">
        <f>CFS!H19</f>
        <v>13481</v>
      </c>
      <c r="I62" s="40">
        <f>CFS!I19</f>
        <v>-19611</v>
      </c>
      <c r="J62" s="40">
        <f>CFS!J19</f>
        <v>-20886</v>
      </c>
      <c r="K62" s="40">
        <f>CFS!K19</f>
        <v>-11541</v>
      </c>
      <c r="L62" s="40">
        <f>CFS!L19</f>
        <v>-6898</v>
      </c>
      <c r="M62" s="112">
        <f>M63*M$27</f>
        <v>-11064.850044354958</v>
      </c>
      <c r="N62" s="112">
        <f t="shared" ref="N62:Q62" si="70">N63*N$27</f>
        <v>-20246.246731633495</v>
      </c>
      <c r="O62" s="112">
        <f t="shared" si="70"/>
        <v>-19592.903168684414</v>
      </c>
      <c r="P62" s="112">
        <f t="shared" si="70"/>
        <v>-18137.108104416817</v>
      </c>
      <c r="Q62" s="112">
        <f t="shared" si="70"/>
        <v>-19838.073985955692</v>
      </c>
    </row>
    <row r="63" spans="2:20" customFormat="1" x14ac:dyDescent="0.3">
      <c r="B63" s="26" t="s">
        <v>49</v>
      </c>
      <c r="C63" s="28">
        <f>C62/C$27</f>
        <v>2.3895856307122966E-2</v>
      </c>
      <c r="D63" s="28">
        <f t="shared" ref="D63" si="71">D62/D$27</f>
        <v>2.8796870289071748E-2</v>
      </c>
      <c r="E63" s="28">
        <f t="shared" ref="E63" si="72">E62/E$27</f>
        <v>-9.7264232624560065E-4</v>
      </c>
      <c r="F63" s="28">
        <f t="shared" ref="F63" si="73">F62/F$27</f>
        <v>-4.4785668586052466E-3</v>
      </c>
      <c r="G63" s="28">
        <f t="shared" ref="G63" si="74">G62/G$27</f>
        <v>-8.6909404609977117E-3</v>
      </c>
      <c r="H63" s="28">
        <f t="shared" ref="H63" si="75">H62/H$27</f>
        <v>3.4919080774172155E-2</v>
      </c>
      <c r="I63" s="28">
        <f t="shared" ref="I63" si="76">I62/I$27</f>
        <v>-4.1741340337404377E-2</v>
      </c>
      <c r="J63" s="28">
        <f t="shared" ref="J63" si="77">J62/J$27</f>
        <v>-4.0635585223635799E-2</v>
      </c>
      <c r="K63" s="28">
        <f t="shared" ref="K63" si="78">K62/K$27</f>
        <v>-2.0078812077559436E-2</v>
      </c>
      <c r="L63" s="28">
        <f t="shared" ref="L63" si="79">L62/L$27</f>
        <v>-1.0851952187223707E-2</v>
      </c>
      <c r="M63" s="113">
        <f>AVERAGE(H63:L63)</f>
        <v>-1.5677721810330232E-2</v>
      </c>
      <c r="N63" s="113">
        <f t="shared" ref="N63:Q63" si="80">AVERAGE(I63:M63)</f>
        <v>-2.5797082327230707E-2</v>
      </c>
      <c r="O63" s="113">
        <f t="shared" si="80"/>
        <v>-2.2608230725195976E-2</v>
      </c>
      <c r="P63" s="113">
        <f t="shared" si="80"/>
        <v>-1.900275982550801E-2</v>
      </c>
      <c r="Q63" s="113">
        <f t="shared" si="80"/>
        <v>-1.8787549375097728E-2</v>
      </c>
    </row>
    <row r="64" spans="2:20" customFormat="1" x14ac:dyDescent="0.3">
      <c r="B64" s="26" t="s">
        <v>118</v>
      </c>
      <c r="C64" s="111" t="str">
        <f>"-"</f>
        <v>-</v>
      </c>
      <c r="D64" s="27">
        <f>D62/(D27-C27)</f>
        <v>0.1351230116283082</v>
      </c>
      <c r="E64" s="27">
        <f t="shared" ref="E64:L64" si="81">E62/(E27-D27)</f>
        <v>-4.1309486854986983E-3</v>
      </c>
      <c r="F64" s="27">
        <f t="shared" si="81"/>
        <v>-1.895639846604024E-2</v>
      </c>
      <c r="G64" s="27">
        <f t="shared" si="81"/>
        <v>-5.118085441377139E-2</v>
      </c>
      <c r="H64" s="27">
        <f t="shared" si="81"/>
        <v>0.12773114020958481</v>
      </c>
      <c r="I64" s="27">
        <f t="shared" si="81"/>
        <v>-0.23413882852981208</v>
      </c>
      <c r="J64" s="27">
        <f t="shared" si="81"/>
        <v>-0.47295124657503229</v>
      </c>
      <c r="K64" s="27">
        <f t="shared" si="81"/>
        <v>-0.18981283510410843</v>
      </c>
      <c r="L64" s="27">
        <f t="shared" si="81"/>
        <v>-0.11334023430439855</v>
      </c>
    </row>
    <row r="65" spans="2:24" customFormat="1" x14ac:dyDescent="0.3"/>
    <row r="66" spans="2:24" s="77" customFormat="1" x14ac:dyDescent="0.3">
      <c r="B66" s="115" t="s">
        <v>0</v>
      </c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</row>
    <row r="67" spans="2:24" s="77" customFormat="1" x14ac:dyDescent="0.3">
      <c r="B67" s="24" t="s">
        <v>166</v>
      </c>
      <c r="C67" s="25">
        <f>2015</f>
        <v>2015</v>
      </c>
      <c r="D67" s="25">
        <f t="shared" ref="D67:Q67" si="82">C67+1</f>
        <v>2016</v>
      </c>
      <c r="E67" s="25">
        <f t="shared" si="82"/>
        <v>2017</v>
      </c>
      <c r="F67" s="25">
        <f t="shared" si="82"/>
        <v>2018</v>
      </c>
      <c r="G67" s="25">
        <f t="shared" si="82"/>
        <v>2019</v>
      </c>
      <c r="H67" s="25">
        <f t="shared" si="82"/>
        <v>2020</v>
      </c>
      <c r="I67" s="25">
        <f t="shared" si="82"/>
        <v>2021</v>
      </c>
      <c r="J67" s="25">
        <f t="shared" si="82"/>
        <v>2022</v>
      </c>
      <c r="K67" s="25">
        <f t="shared" si="82"/>
        <v>2023</v>
      </c>
      <c r="L67" s="23">
        <f t="shared" si="82"/>
        <v>2024</v>
      </c>
      <c r="M67" s="23">
        <f t="shared" si="82"/>
        <v>2025</v>
      </c>
      <c r="N67" s="23">
        <f t="shared" si="82"/>
        <v>2026</v>
      </c>
      <c r="O67" s="23">
        <f t="shared" si="82"/>
        <v>2027</v>
      </c>
      <c r="P67" s="23">
        <f t="shared" si="82"/>
        <v>2028</v>
      </c>
      <c r="Q67" s="23">
        <f t="shared" si="82"/>
        <v>2029</v>
      </c>
      <c r="R67" s="106"/>
      <c r="S67" s="106"/>
      <c r="T67" s="106"/>
      <c r="U67" s="106"/>
      <c r="V67" s="106"/>
      <c r="W67" s="106"/>
      <c r="X67" s="106"/>
    </row>
    <row r="68" spans="2:24" customFormat="1" ht="6.6" customHeight="1" x14ac:dyDescent="0.3"/>
    <row r="69" spans="2:24" customFormat="1" x14ac:dyDescent="0.3">
      <c r="B69" t="s">
        <v>160</v>
      </c>
      <c r="L69" s="118">
        <f>L27</f>
        <v>635646</v>
      </c>
      <c r="M69" s="118">
        <f t="shared" ref="M69:Q69" si="83">M27</f>
        <v>705769</v>
      </c>
      <c r="N69" s="118">
        <f t="shared" si="83"/>
        <v>784827</v>
      </c>
      <c r="O69" s="118">
        <f t="shared" si="83"/>
        <v>866627</v>
      </c>
      <c r="P69" s="118">
        <f t="shared" si="83"/>
        <v>954446</v>
      </c>
      <c r="Q69" s="118">
        <f t="shared" si="83"/>
        <v>1055916</v>
      </c>
    </row>
    <row r="70" spans="2:24" customFormat="1" x14ac:dyDescent="0.3">
      <c r="B70" t="s">
        <v>161</v>
      </c>
      <c r="L70" s="119">
        <f>L28</f>
        <v>0.10588480910253395</v>
      </c>
      <c r="M70" s="119">
        <f t="shared" ref="M70:Q70" si="84">M28</f>
        <v>0.11031769255214385</v>
      </c>
      <c r="N70" s="119">
        <f t="shared" si="84"/>
        <v>0.11201682136789803</v>
      </c>
      <c r="O70" s="119">
        <f t="shared" si="84"/>
        <v>0.10422679138204982</v>
      </c>
      <c r="P70" s="119">
        <f t="shared" si="84"/>
        <v>0.10133425337544288</v>
      </c>
      <c r="Q70" s="119">
        <f t="shared" si="84"/>
        <v>0.10631298156207891</v>
      </c>
    </row>
    <row r="71" spans="2:24" customFormat="1" x14ac:dyDescent="0.3"/>
    <row r="72" spans="2:24" customFormat="1" x14ac:dyDescent="0.3">
      <c r="B72" t="s">
        <v>50</v>
      </c>
      <c r="L72" s="118">
        <f>L44</f>
        <v>62270.17</v>
      </c>
      <c r="M72" s="118">
        <f t="shared" ref="M72:Q72" si="85">M44</f>
        <v>77775.41</v>
      </c>
      <c r="N72" s="118">
        <f t="shared" si="85"/>
        <v>97823.1</v>
      </c>
      <c r="O72" s="118">
        <f t="shared" si="85"/>
        <v>118182.7060444323</v>
      </c>
      <c r="P72" s="118">
        <f t="shared" si="85"/>
        <v>136838.2435031237</v>
      </c>
      <c r="Q72" s="118">
        <f t="shared" si="85"/>
        <v>158304.14054407948</v>
      </c>
    </row>
    <row r="73" spans="2:24" customFormat="1" x14ac:dyDescent="0.3">
      <c r="B73" t="s">
        <v>162</v>
      </c>
      <c r="L73" s="119">
        <f>L45</f>
        <v>9.7963599236052773E-2</v>
      </c>
      <c r="M73" s="119">
        <f t="shared" ref="M73:Q73" si="86">M45</f>
        <v>0.1101995270407173</v>
      </c>
      <c r="N73" s="119">
        <f t="shared" si="86"/>
        <v>0.12464288308123957</v>
      </c>
      <c r="O73" s="119">
        <f t="shared" si="86"/>
        <v>0.1363709024118015</v>
      </c>
      <c r="P73" s="119">
        <f t="shared" si="86"/>
        <v>0.14336928805099891</v>
      </c>
      <c r="Q73" s="119">
        <f t="shared" si="86"/>
        <v>0.14992114954606189</v>
      </c>
    </row>
    <row r="74" spans="2:24" customFormat="1" x14ac:dyDescent="0.3"/>
    <row r="75" spans="2:24" customFormat="1" x14ac:dyDescent="0.3">
      <c r="B75" t="s">
        <v>163</v>
      </c>
      <c r="L75" s="120">
        <f>L72*L76</f>
        <v>11051.479073988503</v>
      </c>
      <c r="M75" s="120">
        <f t="shared" ref="M75:Q75" si="87">M72*M76</f>
        <v>11881.130461124954</v>
      </c>
      <c r="N75" s="120">
        <f t="shared" si="87"/>
        <v>15783.67836599972</v>
      </c>
      <c r="O75" s="120">
        <f t="shared" si="87"/>
        <v>20125.51143794728</v>
      </c>
      <c r="P75" s="120">
        <f t="shared" si="87"/>
        <v>23302.39107687509</v>
      </c>
      <c r="Q75" s="120">
        <f t="shared" si="87"/>
        <v>26347.208776512849</v>
      </c>
    </row>
    <row r="76" spans="2:24" customFormat="1" x14ac:dyDescent="0.3">
      <c r="B76" t="s">
        <v>57</v>
      </c>
      <c r="L76" s="119">
        <f>L51</f>
        <v>0.17747629521468311</v>
      </c>
      <c r="M76" s="119">
        <f t="shared" ref="M76:Q76" si="88">M51</f>
        <v>0.15276204215606132</v>
      </c>
      <c r="N76" s="119">
        <f t="shared" si="88"/>
        <v>0.16134919427006217</v>
      </c>
      <c r="O76" s="119">
        <f t="shared" si="88"/>
        <v>0.1702915097440808</v>
      </c>
      <c r="P76" s="119">
        <f t="shared" si="88"/>
        <v>0.1702915097440808</v>
      </c>
      <c r="Q76" s="119">
        <f t="shared" si="88"/>
        <v>0.16643411022579363</v>
      </c>
    </row>
    <row r="78" spans="2:24" customFormat="1" x14ac:dyDescent="0.3">
      <c r="B78" s="78" t="s">
        <v>164</v>
      </c>
      <c r="C78" s="79"/>
      <c r="D78" s="79"/>
      <c r="E78" s="79"/>
      <c r="F78" s="79"/>
      <c r="G78" s="79"/>
      <c r="H78" s="79"/>
      <c r="I78" s="79"/>
      <c r="J78" s="79"/>
      <c r="K78" s="79"/>
      <c r="L78" s="122">
        <f>L72-L75</f>
        <v>51218.690926011492</v>
      </c>
      <c r="M78" s="122">
        <f t="shared" ref="M78:Q78" si="89">M72-M75</f>
        <v>65894.279538875053</v>
      </c>
      <c r="N78" s="122">
        <f t="shared" si="89"/>
        <v>82039.421634000289</v>
      </c>
      <c r="O78" s="122">
        <f t="shared" si="89"/>
        <v>98057.19460648502</v>
      </c>
      <c r="P78" s="122">
        <f t="shared" si="89"/>
        <v>113535.8524262486</v>
      </c>
      <c r="Q78" s="123">
        <f t="shared" si="89"/>
        <v>131956.93176756662</v>
      </c>
    </row>
    <row r="79" spans="2:24" customFormat="1" x14ac:dyDescent="0.3">
      <c r="L79" s="119"/>
      <c r="M79" s="119"/>
      <c r="N79" s="119"/>
      <c r="O79" s="119"/>
      <c r="P79" s="119"/>
      <c r="Q79" s="119"/>
    </row>
    <row r="80" spans="2:24" customFormat="1" x14ac:dyDescent="0.3">
      <c r="B80" t="s">
        <v>114</v>
      </c>
      <c r="L80" s="118">
        <f>L55</f>
        <v>49673</v>
      </c>
      <c r="M80" s="118">
        <f t="shared" ref="M80:Q80" si="90">M55</f>
        <v>54029.981256774641</v>
      </c>
      <c r="N80" s="118">
        <f t="shared" si="90"/>
        <v>61832.178815252708</v>
      </c>
      <c r="O80" s="118">
        <f t="shared" si="90"/>
        <v>69279.715031460539</v>
      </c>
      <c r="P80" s="118">
        <f t="shared" si="90"/>
        <v>75991.021748701343</v>
      </c>
      <c r="Q80" s="118">
        <f t="shared" si="90"/>
        <v>83004.429599953422</v>
      </c>
    </row>
    <row r="81" spans="2:19" customFormat="1" x14ac:dyDescent="0.3">
      <c r="B81" t="s">
        <v>49</v>
      </c>
      <c r="L81" s="119">
        <f>L80/L27</f>
        <v>7.8145697447950593E-2</v>
      </c>
      <c r="M81" s="119">
        <f t="shared" ref="M81:Q81" si="91">M80/M27</f>
        <v>7.6554766866743423E-2</v>
      </c>
      <c r="N81" s="119">
        <f t="shared" si="91"/>
        <v>7.8784469463018869E-2</v>
      </c>
      <c r="O81" s="119">
        <f t="shared" si="91"/>
        <v>7.9941791602916298E-2</v>
      </c>
      <c r="P81" s="119">
        <f t="shared" si="91"/>
        <v>7.9617937262769542E-2</v>
      </c>
      <c r="Q81" s="119">
        <f t="shared" si="91"/>
        <v>7.8608932528679759E-2</v>
      </c>
    </row>
    <row r="82" spans="2:19" customFormat="1" x14ac:dyDescent="0.3"/>
    <row r="83" spans="2:19" customFormat="1" x14ac:dyDescent="0.3">
      <c r="B83" t="s">
        <v>116</v>
      </c>
      <c r="L83" s="118">
        <f>L59</f>
        <v>59612</v>
      </c>
      <c r="M83" s="118">
        <f t="shared" ref="M83:Q83" si="92">M59</f>
        <v>76684.248774544845</v>
      </c>
      <c r="N83" s="118">
        <f t="shared" si="92"/>
        <v>82014.262382463799</v>
      </c>
      <c r="O83" s="118">
        <f t="shared" si="92"/>
        <v>86374.965459393483</v>
      </c>
      <c r="P83" s="118">
        <f t="shared" si="92"/>
        <v>97020.153340654288</v>
      </c>
      <c r="Q83" s="118">
        <f t="shared" si="92"/>
        <v>109411.90392556552</v>
      </c>
    </row>
    <row r="84" spans="2:19" customFormat="1" x14ac:dyDescent="0.3">
      <c r="B84" s="77" t="s">
        <v>49</v>
      </c>
      <c r="L84" s="119">
        <f>L83/L27</f>
        <v>9.3781759029396866E-2</v>
      </c>
      <c r="M84" s="119">
        <f t="shared" ref="M84:Q84" si="93">M83/M27</f>
        <v>0.10865346703318628</v>
      </c>
      <c r="N84" s="119">
        <f t="shared" si="93"/>
        <v>0.1044997972578209</v>
      </c>
      <c r="O84" s="119">
        <f t="shared" si="93"/>
        <v>9.9667983410848593E-2</v>
      </c>
      <c r="P84" s="119">
        <f t="shared" si="93"/>
        <v>0.10165075168281316</v>
      </c>
      <c r="Q84" s="119">
        <f t="shared" si="93"/>
        <v>0.10361799984616724</v>
      </c>
    </row>
    <row r="85" spans="2:19" customFormat="1" x14ac:dyDescent="0.3"/>
    <row r="86" spans="2:19" customFormat="1" x14ac:dyDescent="0.3">
      <c r="B86" s="46" t="s">
        <v>165</v>
      </c>
      <c r="L86" s="118">
        <f>L62</f>
        <v>-6898</v>
      </c>
      <c r="M86" s="118">
        <f t="shared" ref="M86:Q86" si="94">M62</f>
        <v>-11064.850044354958</v>
      </c>
      <c r="N86" s="118">
        <f t="shared" si="94"/>
        <v>-20246.246731633495</v>
      </c>
      <c r="O86" s="118">
        <f t="shared" si="94"/>
        <v>-19592.903168684414</v>
      </c>
      <c r="P86" s="118">
        <f t="shared" si="94"/>
        <v>-18137.108104416817</v>
      </c>
      <c r="Q86" s="118">
        <f t="shared" si="94"/>
        <v>-19838.073985955692</v>
      </c>
    </row>
    <row r="87" spans="2:19" customFormat="1" x14ac:dyDescent="0.3">
      <c r="B87" s="77" t="s">
        <v>49</v>
      </c>
      <c r="L87" s="119">
        <f>L86/L27</f>
        <v>-1.0851952187223707E-2</v>
      </c>
      <c r="M87" s="119">
        <f t="shared" ref="M87:Q87" si="95">M86/M27</f>
        <v>-1.5677721810330232E-2</v>
      </c>
      <c r="N87" s="119">
        <f t="shared" si="95"/>
        <v>-2.5797082327230707E-2</v>
      </c>
      <c r="O87" s="119">
        <f t="shared" si="95"/>
        <v>-2.2608230725195976E-2</v>
      </c>
      <c r="P87" s="119">
        <f t="shared" si="95"/>
        <v>-1.900275982550801E-2</v>
      </c>
      <c r="Q87" s="119">
        <f t="shared" si="95"/>
        <v>-1.8787549375097728E-2</v>
      </c>
    </row>
    <row r="89" spans="2:19" customFormat="1" x14ac:dyDescent="0.3">
      <c r="B89" s="135" t="s">
        <v>169</v>
      </c>
      <c r="C89" s="108"/>
      <c r="D89" s="108"/>
      <c r="E89" s="108"/>
      <c r="F89" s="108"/>
      <c r="G89" s="108"/>
      <c r="H89" s="108"/>
      <c r="I89" s="108"/>
      <c r="J89" s="108"/>
      <c r="K89" s="108"/>
      <c r="L89" s="136">
        <f>(L78+L80)-(L83+L86)</f>
        <v>48177.690926011492</v>
      </c>
      <c r="M89" s="136">
        <f t="shared" ref="M89:Q89" si="96">(M78+M80)-(M83+M86)</f>
        <v>54304.862065459805</v>
      </c>
      <c r="N89" s="136">
        <f t="shared" si="96"/>
        <v>82103.584798422686</v>
      </c>
      <c r="O89" s="136">
        <f t="shared" si="96"/>
        <v>100554.84734723649</v>
      </c>
      <c r="P89" s="136">
        <f t="shared" si="96"/>
        <v>110643.82893871248</v>
      </c>
      <c r="Q89" s="137">
        <f t="shared" si="96"/>
        <v>125387.53142791023</v>
      </c>
    </row>
    <row r="90" spans="2:19" customFormat="1" x14ac:dyDescent="0.3">
      <c r="B90" s="109" t="s">
        <v>188</v>
      </c>
      <c r="C90" s="110"/>
      <c r="D90" s="110"/>
      <c r="E90" s="110"/>
      <c r="F90" s="110"/>
      <c r="G90" s="110"/>
      <c r="H90" s="110"/>
      <c r="I90" s="110"/>
      <c r="J90" s="110"/>
      <c r="K90" s="110"/>
      <c r="L90" s="138">
        <f>(L89*L92)/(1+WACC)^L93</f>
        <v>13225.779574317894</v>
      </c>
      <c r="M90" s="138">
        <f>M89/(1+WACC)^M93</f>
        <v>50834.012856920366</v>
      </c>
      <c r="N90" s="138">
        <f>N89/(1+WACC)^N93</f>
        <v>70598.903927835665</v>
      </c>
      <c r="O90" s="138">
        <f>O89/(1+WACC)^O93</f>
        <v>79425.326590360579</v>
      </c>
      <c r="P90" s="138">
        <f>P89/(1+WACC)^P93</f>
        <v>80279.258813631604</v>
      </c>
      <c r="Q90" s="139">
        <f>Q89/(1+WACC)^Q93</f>
        <v>83570.05139580954</v>
      </c>
      <c r="S90" s="134"/>
    </row>
    <row r="92" spans="2:19" x14ac:dyDescent="0.3">
      <c r="B92" t="s">
        <v>189</v>
      </c>
      <c r="L92" s="107">
        <f>YEARFRAC(L5,L6)</f>
        <v>0.27777777777777779</v>
      </c>
    </row>
    <row r="93" spans="2:19" x14ac:dyDescent="0.3">
      <c r="B93" t="s">
        <v>190</v>
      </c>
      <c r="L93" s="107">
        <f>L92/2</f>
        <v>0.1388888888888889</v>
      </c>
      <c r="M93" s="107">
        <f>L92+0.5</f>
        <v>0.77777777777777779</v>
      </c>
      <c r="N93" s="107">
        <f>M93+1</f>
        <v>1.7777777777777777</v>
      </c>
      <c r="O93" s="107">
        <f t="shared" ref="O93:Q93" si="97">N93+1</f>
        <v>2.7777777777777777</v>
      </c>
      <c r="P93" s="107">
        <f t="shared" si="97"/>
        <v>3.7777777777777777</v>
      </c>
      <c r="Q93" s="107">
        <f t="shared" si="97"/>
        <v>4.7777777777777777</v>
      </c>
    </row>
    <row r="95" spans="2:19" x14ac:dyDescent="0.3">
      <c r="B95" t="s">
        <v>191</v>
      </c>
      <c r="Q95" s="140">
        <f>(Q89*(1+TGR))/(WACC-TGR)</f>
        <v>2019873.2781787314</v>
      </c>
    </row>
    <row r="96" spans="2:19" x14ac:dyDescent="0.3">
      <c r="B96" t="s">
        <v>192</v>
      </c>
      <c r="Q96" s="140">
        <f>SUM(Q95/(1+WACC)^Q93)</f>
        <v>1346233.6465844577</v>
      </c>
    </row>
    <row r="98" spans="2:17" x14ac:dyDescent="0.3">
      <c r="B98" t="s">
        <v>193</v>
      </c>
      <c r="Q98" s="124">
        <f>SUM(L90:Q90,Q96)</f>
        <v>1724166.9797433333</v>
      </c>
    </row>
    <row r="99" spans="2:17" x14ac:dyDescent="0.3">
      <c r="B99" t="s">
        <v>194</v>
      </c>
      <c r="Q99" s="124">
        <v>89092</v>
      </c>
    </row>
    <row r="100" spans="2:17" x14ac:dyDescent="0.3">
      <c r="B100" t="s">
        <v>195</v>
      </c>
      <c r="Q100" s="124">
        <v>54889</v>
      </c>
    </row>
    <row r="101" spans="2:17" x14ac:dyDescent="0.3">
      <c r="B101" t="s">
        <v>196</v>
      </c>
      <c r="Q101" s="121">
        <f>Q98+Q99-Q100</f>
        <v>1758369.9797433333</v>
      </c>
    </row>
    <row r="103" spans="2:17" x14ac:dyDescent="0.3">
      <c r="B103" t="s">
        <v>197</v>
      </c>
    </row>
    <row r="104" spans="2:17" x14ac:dyDescent="0.3">
      <c r="B104" t="s">
        <v>198</v>
      </c>
      <c r="Q104" s="40">
        <f>'Diluted Shares'!D13</f>
        <v>10876.066881000001</v>
      </c>
    </row>
    <row r="105" spans="2:17" x14ac:dyDescent="0.3">
      <c r="Q105" s="168">
        <f>Q101/Q104</f>
        <v>161.67333273898183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416D-FF45-48C5-9EAB-2C7D299F51F0}">
  <dimension ref="A1:Q21"/>
  <sheetViews>
    <sheetView workbookViewId="0">
      <selection activeCell="C24" sqref="C24"/>
    </sheetView>
  </sheetViews>
  <sheetFormatPr defaultRowHeight="14.4" x14ac:dyDescent="0.3"/>
  <sheetData>
    <row r="1" spans="1:17" x14ac:dyDescent="0.3">
      <c r="A1" s="13" t="s">
        <v>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3">
      <c r="A2" s="5" t="s">
        <v>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3">
      <c r="A3" s="12"/>
      <c r="B3" s="12" t="s">
        <v>7</v>
      </c>
      <c r="C3" s="12" t="s">
        <v>8</v>
      </c>
      <c r="D3" s="12" t="s">
        <v>9</v>
      </c>
      <c r="E3" s="12" t="s">
        <v>10</v>
      </c>
      <c r="F3" s="12" t="s">
        <v>11</v>
      </c>
      <c r="G3" s="12" t="s">
        <v>12</v>
      </c>
      <c r="H3" s="12" t="s">
        <v>13</v>
      </c>
      <c r="I3" s="12" t="s">
        <v>14</v>
      </c>
      <c r="J3" s="12" t="s">
        <v>15</v>
      </c>
      <c r="K3" s="12" t="s">
        <v>16</v>
      </c>
      <c r="L3" s="12" t="s">
        <v>17</v>
      </c>
      <c r="M3" s="12" t="s">
        <v>18</v>
      </c>
      <c r="N3" s="12" t="s">
        <v>19</v>
      </c>
      <c r="O3" s="12" t="s">
        <v>20</v>
      </c>
      <c r="P3" s="12" t="s">
        <v>21</v>
      </c>
      <c r="Q3" s="12" t="s">
        <v>22</v>
      </c>
    </row>
    <row r="4" spans="1:17" x14ac:dyDescent="0.3">
      <c r="A4" s="12"/>
      <c r="B4" s="12" t="s">
        <v>23</v>
      </c>
      <c r="C4" s="12" t="s">
        <v>24</v>
      </c>
      <c r="D4" s="12" t="s">
        <v>25</v>
      </c>
      <c r="E4" s="12" t="s">
        <v>26</v>
      </c>
      <c r="F4" s="12" t="s">
        <v>27</v>
      </c>
      <c r="G4" s="12" t="s">
        <v>28</v>
      </c>
      <c r="H4" s="12" t="s">
        <v>29</v>
      </c>
      <c r="I4" s="12" t="s">
        <v>30</v>
      </c>
      <c r="J4" s="12" t="s">
        <v>31</v>
      </c>
      <c r="K4" s="12" t="s">
        <v>32</v>
      </c>
      <c r="L4" s="12" t="s">
        <v>33</v>
      </c>
      <c r="M4" s="12" t="s">
        <v>34</v>
      </c>
      <c r="N4" s="12" t="s">
        <v>35</v>
      </c>
      <c r="O4" s="12" t="s">
        <v>36</v>
      </c>
      <c r="P4" s="12" t="s">
        <v>37</v>
      </c>
      <c r="Q4" s="12" t="s">
        <v>38</v>
      </c>
    </row>
    <row r="5" spans="1:17" x14ac:dyDescent="0.3">
      <c r="A5" s="19" t="s">
        <v>39</v>
      </c>
      <c r="B5" s="20">
        <v>88988</v>
      </c>
      <c r="C5" s="20">
        <v>107006</v>
      </c>
      <c r="D5" s="20">
        <v>135987</v>
      </c>
      <c r="E5" s="20">
        <v>177866</v>
      </c>
      <c r="F5" s="20">
        <v>232887</v>
      </c>
      <c r="G5" s="20">
        <v>280522</v>
      </c>
      <c r="H5" s="20">
        <v>386064</v>
      </c>
      <c r="I5" s="20">
        <v>469822</v>
      </c>
      <c r="J5" s="20">
        <v>513983</v>
      </c>
      <c r="K5" s="20">
        <v>574785</v>
      </c>
      <c r="L5" s="20">
        <v>635548</v>
      </c>
      <c r="M5" s="20">
        <v>704509</v>
      </c>
      <c r="N5" s="20">
        <v>779688</v>
      </c>
      <c r="O5" s="20">
        <v>858282</v>
      </c>
      <c r="P5" s="20">
        <v>942468</v>
      </c>
      <c r="Q5" s="20">
        <v>1029190</v>
      </c>
    </row>
    <row r="6" spans="1:17" x14ac:dyDescent="0.3">
      <c r="A6" s="8" t="s">
        <v>2</v>
      </c>
      <c r="B6" s="6">
        <v>55469</v>
      </c>
      <c r="C6" s="6">
        <v>63708</v>
      </c>
      <c r="D6" s="6">
        <v>79785</v>
      </c>
      <c r="E6" s="6">
        <v>106110</v>
      </c>
      <c r="F6" s="6">
        <v>141366</v>
      </c>
      <c r="G6" s="6">
        <v>170773</v>
      </c>
      <c r="H6" s="6">
        <v>236282</v>
      </c>
      <c r="I6" s="6">
        <v>279833</v>
      </c>
      <c r="J6" s="6">
        <v>315880</v>
      </c>
      <c r="K6" s="6">
        <v>352828</v>
      </c>
      <c r="L6" s="6">
        <v>386647</v>
      </c>
      <c r="M6" s="6">
        <v>423461</v>
      </c>
      <c r="N6" s="6">
        <v>461471</v>
      </c>
      <c r="O6" s="6">
        <v>497416</v>
      </c>
      <c r="P6" s="6">
        <v>546306</v>
      </c>
      <c r="Q6" s="6">
        <v>590847</v>
      </c>
    </row>
    <row r="7" spans="1:17" x14ac:dyDescent="0.3">
      <c r="A7" s="15" t="s">
        <v>40</v>
      </c>
      <c r="B7" s="17" t="s">
        <v>41</v>
      </c>
      <c r="C7" s="17" t="s">
        <v>41</v>
      </c>
      <c r="D7" s="11">
        <v>1318</v>
      </c>
      <c r="E7" s="17" t="s">
        <v>41</v>
      </c>
      <c r="F7" s="17" t="s">
        <v>41</v>
      </c>
      <c r="G7" s="17" t="s">
        <v>41</v>
      </c>
      <c r="H7" s="17" t="s">
        <v>41</v>
      </c>
      <c r="I7" s="17" t="s">
        <v>41</v>
      </c>
      <c r="J7" s="11">
        <v>4247</v>
      </c>
      <c r="K7" s="17" t="s">
        <v>41</v>
      </c>
      <c r="L7" s="11">
        <v>5380</v>
      </c>
      <c r="M7" s="17" t="s">
        <v>41</v>
      </c>
      <c r="N7" s="17" t="s">
        <v>41</v>
      </c>
      <c r="O7" s="17" t="s">
        <v>41</v>
      </c>
      <c r="P7" s="17" t="s">
        <v>41</v>
      </c>
      <c r="Q7" s="17" t="s">
        <v>41</v>
      </c>
    </row>
    <row r="8" spans="1:17" x14ac:dyDescent="0.3">
      <c r="A8" s="10" t="s">
        <v>3</v>
      </c>
      <c r="B8" s="11">
        <v>33519</v>
      </c>
      <c r="C8" s="11">
        <v>35418</v>
      </c>
      <c r="D8" s="11">
        <v>43983</v>
      </c>
      <c r="E8" s="11">
        <v>54297</v>
      </c>
      <c r="F8" s="11">
        <v>65866</v>
      </c>
      <c r="G8" s="11">
        <v>74723</v>
      </c>
      <c r="H8" s="11">
        <v>104412</v>
      </c>
      <c r="I8" s="11">
        <v>127787</v>
      </c>
      <c r="J8" s="11">
        <v>118007</v>
      </c>
      <c r="K8" s="11">
        <v>131200</v>
      </c>
      <c r="L8" s="11">
        <v>141444</v>
      </c>
      <c r="M8" s="11">
        <v>154680</v>
      </c>
      <c r="N8" s="11">
        <v>171709</v>
      </c>
      <c r="O8" s="11">
        <v>192631</v>
      </c>
      <c r="P8" s="11">
        <v>199416</v>
      </c>
      <c r="Q8" s="11">
        <v>215930</v>
      </c>
    </row>
    <row r="9" spans="1:17" x14ac:dyDescent="0.3">
      <c r="A9" s="8" t="s">
        <v>42</v>
      </c>
      <c r="B9" s="6" t="s">
        <v>41</v>
      </c>
      <c r="C9" s="6">
        <v>7880</v>
      </c>
      <c r="D9" s="6">
        <v>12219</v>
      </c>
      <c r="E9" s="6">
        <v>17459</v>
      </c>
      <c r="F9" s="6">
        <v>25655</v>
      </c>
      <c r="G9" s="6">
        <v>35026</v>
      </c>
      <c r="H9" s="6">
        <v>45370</v>
      </c>
      <c r="I9" s="6">
        <v>62202</v>
      </c>
      <c r="J9" s="6">
        <v>80096</v>
      </c>
      <c r="K9" s="6">
        <v>90757</v>
      </c>
      <c r="L9" s="6">
        <v>107555</v>
      </c>
      <c r="M9" s="6">
        <v>127628</v>
      </c>
      <c r="N9" s="6">
        <v>151647</v>
      </c>
      <c r="O9" s="6">
        <v>176580</v>
      </c>
      <c r="P9" s="6">
        <v>208724</v>
      </c>
      <c r="Q9" s="6">
        <v>249139</v>
      </c>
    </row>
    <row r="10" spans="1:17" x14ac:dyDescent="0.3">
      <c r="A10" s="10"/>
      <c r="B10" s="17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x14ac:dyDescent="0.3">
      <c r="A11" s="21" t="s">
        <v>43</v>
      </c>
      <c r="B11" s="22">
        <v>178</v>
      </c>
      <c r="C11" s="22">
        <v>2233</v>
      </c>
      <c r="D11" s="22">
        <v>4186</v>
      </c>
      <c r="E11" s="22">
        <v>4106</v>
      </c>
      <c r="F11" s="22">
        <v>12421</v>
      </c>
      <c r="G11" s="22">
        <v>14541</v>
      </c>
      <c r="H11" s="22">
        <v>22899</v>
      </c>
      <c r="I11" s="22">
        <v>24879</v>
      </c>
      <c r="J11" s="22">
        <v>12248</v>
      </c>
      <c r="K11" s="22">
        <v>36852</v>
      </c>
      <c r="L11" s="22">
        <v>62364.9</v>
      </c>
      <c r="M11" s="22">
        <v>76519.399999999994</v>
      </c>
      <c r="N11" s="22">
        <v>95065</v>
      </c>
      <c r="O11" s="22">
        <v>119029</v>
      </c>
      <c r="P11" s="22">
        <v>143146</v>
      </c>
      <c r="Q11" s="22">
        <v>174540</v>
      </c>
    </row>
    <row r="12" spans="1:17" x14ac:dyDescent="0.3">
      <c r="A12" s="10" t="s">
        <v>2</v>
      </c>
      <c r="B12" s="11">
        <v>2105</v>
      </c>
      <c r="C12" s="11">
        <v>2751</v>
      </c>
      <c r="D12" s="11">
        <v>4099</v>
      </c>
      <c r="E12" s="11">
        <v>2837</v>
      </c>
      <c r="F12" s="11">
        <v>7267</v>
      </c>
      <c r="G12" s="11">
        <v>7033</v>
      </c>
      <c r="H12" s="11">
        <v>8651</v>
      </c>
      <c r="I12" s="11">
        <v>7271</v>
      </c>
      <c r="J12" s="9">
        <v>-2847</v>
      </c>
      <c r="K12" s="11">
        <v>14877</v>
      </c>
      <c r="L12" s="11">
        <v>23233.5</v>
      </c>
      <c r="M12" s="11">
        <v>31059.3</v>
      </c>
      <c r="N12" s="11">
        <v>34190</v>
      </c>
      <c r="O12" s="17" t="s">
        <v>41</v>
      </c>
      <c r="P12" s="17" t="s">
        <v>41</v>
      </c>
      <c r="Q12" s="17" t="s">
        <v>41</v>
      </c>
    </row>
    <row r="13" spans="1:17" x14ac:dyDescent="0.3">
      <c r="A13" s="14" t="s">
        <v>44</v>
      </c>
      <c r="B13" s="18" t="s">
        <v>41</v>
      </c>
      <c r="C13" s="18" t="s">
        <v>41</v>
      </c>
      <c r="D13" s="18" t="s">
        <v>41</v>
      </c>
      <c r="E13" s="18" t="s">
        <v>41</v>
      </c>
      <c r="F13" s="18" t="s">
        <v>41</v>
      </c>
      <c r="G13" s="18" t="s">
        <v>41</v>
      </c>
      <c r="H13" s="18" t="s">
        <v>41</v>
      </c>
      <c r="I13" s="18" t="s">
        <v>41</v>
      </c>
      <c r="J13" s="7">
        <v>-2847</v>
      </c>
      <c r="K13" s="18" t="s">
        <v>41</v>
      </c>
      <c r="L13" s="18" t="s">
        <v>41</v>
      </c>
      <c r="M13" s="18" t="s">
        <v>41</v>
      </c>
      <c r="N13" s="18" t="s">
        <v>41</v>
      </c>
      <c r="O13" s="18" t="s">
        <v>41</v>
      </c>
      <c r="P13" s="18" t="s">
        <v>41</v>
      </c>
      <c r="Q13" s="18" t="s">
        <v>41</v>
      </c>
    </row>
    <row r="14" spans="1:17" x14ac:dyDescent="0.3">
      <c r="A14" s="8" t="s">
        <v>3</v>
      </c>
      <c r="B14" s="18">
        <v>-297</v>
      </c>
      <c r="C14" s="6">
        <v>-91</v>
      </c>
      <c r="D14" s="6">
        <v>-477</v>
      </c>
      <c r="E14" s="6">
        <v>-3062</v>
      </c>
      <c r="F14" s="6">
        <v>-2142</v>
      </c>
      <c r="G14" s="6">
        <v>-1693</v>
      </c>
      <c r="H14" s="6">
        <v>717</v>
      </c>
      <c r="I14" s="6">
        <v>-924</v>
      </c>
      <c r="J14" s="6">
        <v>-7746</v>
      </c>
      <c r="K14" s="6">
        <v>-2656</v>
      </c>
      <c r="L14" s="6">
        <v>1765.17</v>
      </c>
      <c r="M14" s="6">
        <v>3899.91</v>
      </c>
      <c r="N14" s="6">
        <v>9726</v>
      </c>
      <c r="O14" s="6" t="s">
        <v>41</v>
      </c>
      <c r="P14" s="6" t="s">
        <v>41</v>
      </c>
      <c r="Q14" s="6" t="s">
        <v>41</v>
      </c>
    </row>
    <row r="15" spans="1:17" x14ac:dyDescent="0.3">
      <c r="A15" s="10" t="s">
        <v>42</v>
      </c>
      <c r="B15" s="11" t="s">
        <v>41</v>
      </c>
      <c r="C15" s="11">
        <v>1863</v>
      </c>
      <c r="D15" s="11">
        <v>3706</v>
      </c>
      <c r="E15" s="11">
        <v>4331</v>
      </c>
      <c r="F15" s="11">
        <v>7296</v>
      </c>
      <c r="G15" s="11">
        <v>9201</v>
      </c>
      <c r="H15" s="11">
        <v>13531</v>
      </c>
      <c r="I15" s="11">
        <v>18532</v>
      </c>
      <c r="J15" s="9">
        <v>22841</v>
      </c>
      <c r="K15" s="11">
        <v>24631</v>
      </c>
      <c r="L15" s="11">
        <v>37271.5</v>
      </c>
      <c r="M15" s="11">
        <v>42816.2</v>
      </c>
      <c r="N15" s="11">
        <v>53907.1</v>
      </c>
      <c r="O15" s="17">
        <v>70418.5</v>
      </c>
      <c r="P15" s="17">
        <v>85067.5</v>
      </c>
      <c r="Q15" s="17">
        <v>102298</v>
      </c>
    </row>
    <row r="16" spans="1:17" x14ac:dyDescent="0.3">
      <c r="A16" s="10" t="s">
        <v>45</v>
      </c>
      <c r="B16" s="17" t="s">
        <v>41</v>
      </c>
      <c r="C16" s="17" t="s">
        <v>41</v>
      </c>
      <c r="D16" s="17" t="s">
        <v>41</v>
      </c>
      <c r="E16" s="17" t="s">
        <v>41</v>
      </c>
      <c r="F16" s="17" t="s">
        <v>41</v>
      </c>
      <c r="G16" s="17" t="s">
        <v>41</v>
      </c>
      <c r="H16" s="17" t="s">
        <v>41</v>
      </c>
      <c r="I16" s="11">
        <v>495.17500000000001</v>
      </c>
      <c r="J16" s="11">
        <v>568.89</v>
      </c>
      <c r="K16" s="17" t="s">
        <v>41</v>
      </c>
      <c r="L16" s="17" t="s">
        <v>41</v>
      </c>
      <c r="M16" s="17" t="s">
        <v>41</v>
      </c>
      <c r="N16" s="17" t="s">
        <v>41</v>
      </c>
      <c r="O16" s="17" t="s">
        <v>41</v>
      </c>
      <c r="P16" s="17" t="s">
        <v>41</v>
      </c>
      <c r="Q16" s="17" t="s">
        <v>41</v>
      </c>
    </row>
    <row r="17" spans="1:17" x14ac:dyDescent="0.3">
      <c r="A17" s="10"/>
      <c r="B17" s="17"/>
      <c r="C17" s="17"/>
      <c r="D17" s="17"/>
      <c r="E17" s="17"/>
      <c r="F17" s="17"/>
      <c r="G17" s="17"/>
      <c r="H17" s="17"/>
      <c r="I17" s="11"/>
      <c r="J17" s="11"/>
      <c r="K17" s="17"/>
      <c r="L17" s="17"/>
      <c r="M17" s="17"/>
      <c r="N17" s="17"/>
      <c r="O17" s="17"/>
      <c r="P17" s="17"/>
      <c r="Q17" s="17"/>
    </row>
    <row r="18" spans="1:17" x14ac:dyDescent="0.3">
      <c r="A18" s="21" t="s">
        <v>46</v>
      </c>
      <c r="B18" s="22">
        <v>6553</v>
      </c>
      <c r="C18" s="22">
        <v>10805</v>
      </c>
      <c r="D18" s="22">
        <v>15440</v>
      </c>
      <c r="E18" s="22">
        <v>20007</v>
      </c>
      <c r="F18" s="22">
        <v>33476</v>
      </c>
      <c r="G18" s="22">
        <v>43245</v>
      </c>
      <c r="H18" s="22">
        <v>57284</v>
      </c>
      <c r="I18" s="22">
        <v>71994</v>
      </c>
      <c r="J18" s="22">
        <v>73836</v>
      </c>
      <c r="K18" s="22">
        <v>109538</v>
      </c>
      <c r="L18" s="22">
        <v>137679</v>
      </c>
      <c r="M18" s="22">
        <v>159786</v>
      </c>
      <c r="N18" s="22">
        <v>184965</v>
      </c>
      <c r="O18" s="22">
        <v>217623</v>
      </c>
      <c r="P18" s="22">
        <v>248736</v>
      </c>
      <c r="Q18" s="22">
        <v>289356</v>
      </c>
    </row>
    <row r="19" spans="1:17" x14ac:dyDescent="0.3">
      <c r="A19" s="10" t="s">
        <v>2</v>
      </c>
      <c r="B19" s="17" t="s">
        <v>41</v>
      </c>
      <c r="C19" s="17" t="s">
        <v>41</v>
      </c>
      <c r="D19" s="17" t="s">
        <v>41</v>
      </c>
      <c r="E19" s="11">
        <v>7463</v>
      </c>
      <c r="F19" s="11">
        <v>13492</v>
      </c>
      <c r="G19" s="11">
        <v>16504</v>
      </c>
      <c r="H19" s="11">
        <v>17413</v>
      </c>
      <c r="I19" s="11">
        <v>22762</v>
      </c>
      <c r="J19" s="11">
        <v>17894</v>
      </c>
      <c r="K19" s="11">
        <v>41189</v>
      </c>
      <c r="L19" s="11">
        <v>47377</v>
      </c>
      <c r="M19" s="11">
        <v>53874</v>
      </c>
      <c r="N19" s="17" t="s">
        <v>41</v>
      </c>
      <c r="O19" s="17" t="s">
        <v>41</v>
      </c>
      <c r="P19" s="17" t="s">
        <v>41</v>
      </c>
      <c r="Q19" s="17" t="s">
        <v>41</v>
      </c>
    </row>
    <row r="20" spans="1:17" x14ac:dyDescent="0.3">
      <c r="A20" s="8" t="s">
        <v>3</v>
      </c>
      <c r="B20" s="18" t="s">
        <v>41</v>
      </c>
      <c r="C20" s="18" t="s">
        <v>41</v>
      </c>
      <c r="D20" s="18" t="s">
        <v>41</v>
      </c>
      <c r="E20" s="6">
        <v>1945</v>
      </c>
      <c r="F20" s="18" t="s">
        <v>41</v>
      </c>
      <c r="G20" s="6">
        <v>5921</v>
      </c>
      <c r="H20" s="6">
        <v>7269</v>
      </c>
      <c r="I20" s="6">
        <v>14485</v>
      </c>
      <c r="J20" s="6">
        <v>14198</v>
      </c>
      <c r="K20" s="6">
        <v>16832</v>
      </c>
      <c r="L20" s="6">
        <v>25226</v>
      </c>
      <c r="M20" s="6">
        <v>28198</v>
      </c>
      <c r="N20" s="18" t="s">
        <v>41</v>
      </c>
      <c r="O20" s="18" t="s">
        <v>41</v>
      </c>
      <c r="P20" s="18" t="s">
        <v>41</v>
      </c>
      <c r="Q20" s="18" t="s">
        <v>41</v>
      </c>
    </row>
    <row r="21" spans="1:17" x14ac:dyDescent="0.3">
      <c r="A21" s="10" t="s">
        <v>42</v>
      </c>
      <c r="B21" s="17" t="s">
        <v>41</v>
      </c>
      <c r="C21" s="17" t="s">
        <v>41</v>
      </c>
      <c r="D21" s="17" t="s">
        <v>41</v>
      </c>
      <c r="E21" s="11">
        <v>9128</v>
      </c>
      <c r="F21" s="11">
        <v>14189</v>
      </c>
      <c r="G21" s="11">
        <v>18239.599999999999</v>
      </c>
      <c r="H21" s="11">
        <v>22953.5</v>
      </c>
      <c r="I21" s="11">
        <v>31239</v>
      </c>
      <c r="J21" s="11">
        <v>37506</v>
      </c>
      <c r="K21" s="11">
        <v>46916</v>
      </c>
      <c r="L21" s="11">
        <v>65410.5</v>
      </c>
      <c r="M21" s="11">
        <v>76791.5</v>
      </c>
      <c r="N21" s="11">
        <v>99377</v>
      </c>
      <c r="O21" s="11">
        <v>118602</v>
      </c>
      <c r="P21" s="11">
        <v>140497</v>
      </c>
      <c r="Q21" s="11">
        <v>165221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A28C-0B29-4688-8E47-48FD63499314}">
  <dimension ref="A1:L52"/>
  <sheetViews>
    <sheetView topLeftCell="A8" workbookViewId="0">
      <selection activeCell="A16" sqref="A16"/>
    </sheetView>
  </sheetViews>
  <sheetFormatPr defaultRowHeight="14.4" x14ac:dyDescent="0.3"/>
  <cols>
    <col min="1" max="1" width="53.44140625" bestFit="1" customWidth="1"/>
  </cols>
  <sheetData>
    <row r="1" spans="1:12" x14ac:dyDescent="0.3">
      <c r="A1" s="87" t="s">
        <v>58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x14ac:dyDescent="0.3">
      <c r="A2" s="105" t="s">
        <v>59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</row>
    <row r="3" spans="1:12" x14ac:dyDescent="0.3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5" spans="1:12" x14ac:dyDescent="0.3">
      <c r="A5" s="86" t="s">
        <v>60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</row>
    <row r="6" spans="1:12" x14ac:dyDescent="0.3">
      <c r="A6" s="86" t="s">
        <v>61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</row>
    <row r="7" spans="1:12" x14ac:dyDescent="0.3">
      <c r="A7" s="86" t="s">
        <v>62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1:12" x14ac:dyDescent="0.3">
      <c r="A8" s="86"/>
      <c r="B8" s="86" t="s">
        <v>63</v>
      </c>
      <c r="C8" s="86" t="s">
        <v>64</v>
      </c>
      <c r="D8" s="86" t="s">
        <v>65</v>
      </c>
      <c r="E8" s="86" t="s">
        <v>66</v>
      </c>
      <c r="F8" s="86" t="s">
        <v>67</v>
      </c>
      <c r="G8" s="86" t="s">
        <v>68</v>
      </c>
      <c r="H8" s="86" t="s">
        <v>69</v>
      </c>
      <c r="I8" s="86" t="s">
        <v>70</v>
      </c>
      <c r="J8" s="86" t="s">
        <v>71</v>
      </c>
      <c r="K8" s="86" t="s">
        <v>72</v>
      </c>
      <c r="L8" s="86" t="s">
        <v>73</v>
      </c>
    </row>
    <row r="9" spans="1:12" x14ac:dyDescent="0.3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 t="s">
        <v>74</v>
      </c>
    </row>
    <row r="10" spans="1:12" x14ac:dyDescent="0.3">
      <c r="A10" s="97" t="s">
        <v>119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</row>
    <row r="11" spans="1:12" x14ac:dyDescent="0.3">
      <c r="A11" s="96" t="s">
        <v>120</v>
      </c>
      <c r="B11" s="83">
        <v>-241</v>
      </c>
      <c r="C11" s="85">
        <v>596</v>
      </c>
      <c r="D11" s="85">
        <v>2371</v>
      </c>
      <c r="E11" s="85">
        <v>3033</v>
      </c>
      <c r="F11" s="85">
        <v>10073</v>
      </c>
      <c r="G11" s="85">
        <v>11588</v>
      </c>
      <c r="H11" s="85">
        <v>21331</v>
      </c>
      <c r="I11" s="85">
        <v>33364</v>
      </c>
      <c r="J11" s="83">
        <v>-2722</v>
      </c>
      <c r="K11" s="85">
        <v>30425</v>
      </c>
      <c r="L11" s="85">
        <v>44419</v>
      </c>
    </row>
    <row r="12" spans="1:12" x14ac:dyDescent="0.3">
      <c r="A12" s="102" t="s">
        <v>121</v>
      </c>
      <c r="B12" s="100">
        <v>4187</v>
      </c>
      <c r="C12" s="100">
        <v>5646</v>
      </c>
      <c r="D12" s="100">
        <v>7482</v>
      </c>
      <c r="E12" s="100">
        <v>10933</v>
      </c>
      <c r="F12" s="100">
        <v>15341</v>
      </c>
      <c r="G12" s="100">
        <v>21789</v>
      </c>
      <c r="H12" s="100">
        <v>25251</v>
      </c>
      <c r="I12" s="100">
        <v>34296</v>
      </c>
      <c r="J12" s="100">
        <v>41921</v>
      </c>
      <c r="K12" s="100">
        <v>48663</v>
      </c>
      <c r="L12" s="100">
        <v>49673</v>
      </c>
    </row>
    <row r="13" spans="1:12" x14ac:dyDescent="0.3">
      <c r="A13" s="91" t="s">
        <v>122</v>
      </c>
      <c r="B13" s="84"/>
      <c r="C13" s="84"/>
      <c r="D13" s="84"/>
      <c r="E13" s="84"/>
      <c r="F13" s="85">
        <v>14866</v>
      </c>
      <c r="G13" s="85">
        <v>21224</v>
      </c>
      <c r="H13" s="85">
        <v>24742</v>
      </c>
      <c r="I13" s="85">
        <v>33784</v>
      </c>
      <c r="J13" s="85">
        <v>41317</v>
      </c>
      <c r="K13" s="85">
        <v>47957</v>
      </c>
      <c r="L13" s="84"/>
    </row>
    <row r="14" spans="1:12" x14ac:dyDescent="0.3">
      <c r="A14" s="92" t="s">
        <v>123</v>
      </c>
      <c r="B14" s="82"/>
      <c r="C14" s="82"/>
      <c r="D14" s="82"/>
      <c r="E14" s="82"/>
      <c r="F14" s="80">
        <v>475</v>
      </c>
      <c r="G14" s="80">
        <v>565</v>
      </c>
      <c r="H14" s="80">
        <v>509</v>
      </c>
      <c r="I14" s="80">
        <v>512</v>
      </c>
      <c r="J14" s="80">
        <v>604</v>
      </c>
      <c r="K14" s="80">
        <v>706</v>
      </c>
      <c r="L14" s="82"/>
    </row>
    <row r="15" spans="1:12" x14ac:dyDescent="0.3">
      <c r="A15" s="94" t="s">
        <v>124</v>
      </c>
      <c r="B15" s="93">
        <v>-316</v>
      </c>
      <c r="C15" s="93">
        <v>81</v>
      </c>
      <c r="D15" s="93">
        <v>-246</v>
      </c>
      <c r="E15" s="93">
        <v>-29</v>
      </c>
      <c r="F15" s="93">
        <v>441</v>
      </c>
      <c r="G15" s="93">
        <v>796</v>
      </c>
      <c r="H15" s="93">
        <v>-554</v>
      </c>
      <c r="I15" s="93">
        <v>-310</v>
      </c>
      <c r="J15" s="93">
        <v>-8148</v>
      </c>
      <c r="K15" s="93">
        <v>-5876</v>
      </c>
      <c r="L15" s="93">
        <v>-4383</v>
      </c>
    </row>
    <row r="16" spans="1:12" x14ac:dyDescent="0.3">
      <c r="A16" s="92" t="s">
        <v>125</v>
      </c>
      <c r="B16" s="81">
        <v>-316</v>
      </c>
      <c r="C16" s="80">
        <v>81</v>
      </c>
      <c r="D16" s="81">
        <v>-246</v>
      </c>
      <c r="E16" s="81">
        <v>-29</v>
      </c>
      <c r="F16" s="80">
        <v>441</v>
      </c>
      <c r="G16" s="80">
        <v>796</v>
      </c>
      <c r="H16" s="81">
        <v>-554</v>
      </c>
      <c r="I16" s="81">
        <v>-310</v>
      </c>
      <c r="J16" s="81">
        <v>-8148</v>
      </c>
      <c r="K16" s="81">
        <v>-5876</v>
      </c>
      <c r="L16" s="81">
        <v>-4383</v>
      </c>
    </row>
    <row r="17" spans="1:12" x14ac:dyDescent="0.3">
      <c r="A17" s="96" t="s">
        <v>126</v>
      </c>
      <c r="B17" s="85">
        <v>2238</v>
      </c>
      <c r="C17" s="85">
        <v>3040</v>
      </c>
      <c r="D17" s="85">
        <v>2920</v>
      </c>
      <c r="E17" s="85">
        <v>4670</v>
      </c>
      <c r="F17" s="85">
        <v>5911</v>
      </c>
      <c r="G17" s="85">
        <v>6779</v>
      </c>
      <c r="H17" s="85">
        <v>6555</v>
      </c>
      <c r="I17" s="83">
        <v>-1412</v>
      </c>
      <c r="J17" s="85">
        <v>36587</v>
      </c>
      <c r="K17" s="85">
        <v>23275</v>
      </c>
      <c r="L17" s="85">
        <v>25141</v>
      </c>
    </row>
    <row r="18" spans="1:12" x14ac:dyDescent="0.3">
      <c r="A18" s="95" t="s">
        <v>127</v>
      </c>
      <c r="B18" s="80">
        <v>5868</v>
      </c>
      <c r="C18" s="80">
        <v>9363</v>
      </c>
      <c r="D18" s="80">
        <v>12527</v>
      </c>
      <c r="E18" s="80">
        <v>18607</v>
      </c>
      <c r="F18" s="80">
        <v>31766</v>
      </c>
      <c r="G18" s="80">
        <v>40952</v>
      </c>
      <c r="H18" s="80">
        <v>52583</v>
      </c>
      <c r="I18" s="80">
        <v>65938</v>
      </c>
      <c r="J18" s="80">
        <v>67638</v>
      </c>
      <c r="K18" s="80">
        <v>96487</v>
      </c>
      <c r="L18" s="80">
        <v>114850</v>
      </c>
    </row>
    <row r="19" spans="1:12" x14ac:dyDescent="0.3">
      <c r="A19" s="94" t="s">
        <v>128</v>
      </c>
      <c r="B19" s="93">
        <v>974</v>
      </c>
      <c r="C19" s="93">
        <v>2557</v>
      </c>
      <c r="D19" s="93">
        <v>3916</v>
      </c>
      <c r="E19" s="93">
        <v>-173</v>
      </c>
      <c r="F19" s="93">
        <v>-1043</v>
      </c>
      <c r="G19" s="93">
        <v>-2438</v>
      </c>
      <c r="H19" s="93">
        <v>13481</v>
      </c>
      <c r="I19" s="93">
        <v>-19611</v>
      </c>
      <c r="J19" s="93">
        <v>-20886</v>
      </c>
      <c r="K19" s="93">
        <v>-11541</v>
      </c>
      <c r="L19" s="93">
        <v>-6898</v>
      </c>
    </row>
    <row r="20" spans="1:12" x14ac:dyDescent="0.3">
      <c r="A20" s="92" t="s">
        <v>129</v>
      </c>
      <c r="B20" s="81">
        <v>-1039</v>
      </c>
      <c r="C20" s="81">
        <v>-1755</v>
      </c>
      <c r="D20" s="81">
        <v>-3367</v>
      </c>
      <c r="E20" s="81">
        <v>-4786</v>
      </c>
      <c r="F20" s="81">
        <v>-4615</v>
      </c>
      <c r="G20" s="81">
        <v>-7681</v>
      </c>
      <c r="H20" s="81">
        <v>-8169</v>
      </c>
      <c r="I20" s="81">
        <v>-18163</v>
      </c>
      <c r="J20" s="81">
        <v>-21897</v>
      </c>
      <c r="K20" s="81">
        <v>-8348</v>
      </c>
      <c r="L20" s="81">
        <v>-3227</v>
      </c>
    </row>
    <row r="21" spans="1:12" x14ac:dyDescent="0.3">
      <c r="A21" s="91" t="s">
        <v>130</v>
      </c>
      <c r="B21" s="83">
        <v>-1193</v>
      </c>
      <c r="C21" s="83">
        <v>-2187</v>
      </c>
      <c r="D21" s="83">
        <v>-1426</v>
      </c>
      <c r="E21" s="83">
        <v>-3583</v>
      </c>
      <c r="F21" s="83">
        <v>-1314</v>
      </c>
      <c r="G21" s="83">
        <v>-3278</v>
      </c>
      <c r="H21" s="83">
        <v>-2849</v>
      </c>
      <c r="I21" s="83">
        <v>-9487</v>
      </c>
      <c r="J21" s="83">
        <v>-2592</v>
      </c>
      <c r="K21" s="85">
        <v>1449</v>
      </c>
      <c r="L21" s="85">
        <v>2142</v>
      </c>
    </row>
    <row r="22" spans="1:12" x14ac:dyDescent="0.3">
      <c r="A22" s="92" t="s">
        <v>131</v>
      </c>
      <c r="B22" s="80">
        <v>1759</v>
      </c>
      <c r="C22" s="80">
        <v>4294</v>
      </c>
      <c r="D22" s="80">
        <v>5030</v>
      </c>
      <c r="E22" s="80">
        <v>7175</v>
      </c>
      <c r="F22" s="80">
        <v>3263</v>
      </c>
      <c r="G22" s="80">
        <v>8193</v>
      </c>
      <c r="H22" s="80">
        <v>17480</v>
      </c>
      <c r="I22" s="80">
        <v>3602</v>
      </c>
      <c r="J22" s="80">
        <v>2945</v>
      </c>
      <c r="K22" s="80">
        <v>5473</v>
      </c>
      <c r="L22" s="80">
        <v>8431</v>
      </c>
    </row>
    <row r="23" spans="1:12" x14ac:dyDescent="0.3">
      <c r="A23" s="91" t="s">
        <v>132</v>
      </c>
      <c r="B23" s="85">
        <v>706</v>
      </c>
      <c r="C23" s="85">
        <v>913</v>
      </c>
      <c r="D23" s="85">
        <v>1724</v>
      </c>
      <c r="E23" s="85">
        <v>283</v>
      </c>
      <c r="F23" s="85">
        <v>472</v>
      </c>
      <c r="G23" s="83">
        <v>-1383</v>
      </c>
      <c r="H23" s="85">
        <v>5754</v>
      </c>
      <c r="I23" s="85">
        <v>2123</v>
      </c>
      <c r="J23" s="83">
        <v>-1558</v>
      </c>
      <c r="K23" s="83">
        <v>-2428</v>
      </c>
      <c r="L23" s="83">
        <v>-1802</v>
      </c>
    </row>
    <row r="24" spans="1:12" x14ac:dyDescent="0.3">
      <c r="A24" s="92" t="s">
        <v>133</v>
      </c>
      <c r="B24" s="80">
        <v>741</v>
      </c>
      <c r="C24" s="80">
        <v>1292</v>
      </c>
      <c r="D24" s="80">
        <v>1955</v>
      </c>
      <c r="E24" s="80">
        <v>738</v>
      </c>
      <c r="F24" s="80">
        <v>1151</v>
      </c>
      <c r="G24" s="80">
        <v>1711</v>
      </c>
      <c r="H24" s="80">
        <v>1265</v>
      </c>
      <c r="I24" s="80">
        <v>2314</v>
      </c>
      <c r="J24" s="80">
        <v>2216</v>
      </c>
      <c r="K24" s="81">
        <v>-7687</v>
      </c>
      <c r="L24" s="81">
        <v>-12442</v>
      </c>
    </row>
    <row r="25" spans="1:12" x14ac:dyDescent="0.3">
      <c r="A25" s="96" t="s">
        <v>134</v>
      </c>
      <c r="B25" s="85">
        <v>6842</v>
      </c>
      <c r="C25" s="85">
        <v>11920</v>
      </c>
      <c r="D25" s="85">
        <v>16443</v>
      </c>
      <c r="E25" s="85">
        <v>18434</v>
      </c>
      <c r="F25" s="85">
        <v>30723</v>
      </c>
      <c r="G25" s="85">
        <v>38514</v>
      </c>
      <c r="H25" s="85">
        <v>66064</v>
      </c>
      <c r="I25" s="85">
        <v>46327</v>
      </c>
      <c r="J25" s="85">
        <v>46752</v>
      </c>
      <c r="K25" s="85">
        <v>84946</v>
      </c>
      <c r="L25" s="85">
        <v>107952</v>
      </c>
    </row>
    <row r="26" spans="1:12" x14ac:dyDescent="0.3">
      <c r="A26" s="97" t="s">
        <v>135</v>
      </c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  <row r="27" spans="1:12" x14ac:dyDescent="0.3">
      <c r="A27" s="94" t="s">
        <v>136</v>
      </c>
      <c r="B27" s="93">
        <v>-4893</v>
      </c>
      <c r="C27" s="93">
        <v>-4589</v>
      </c>
      <c r="D27" s="93">
        <v>-6737</v>
      </c>
      <c r="E27" s="93">
        <v>-11955</v>
      </c>
      <c r="F27" s="93">
        <v>-13427</v>
      </c>
      <c r="G27" s="93">
        <v>-16861</v>
      </c>
      <c r="H27" s="93">
        <v>-40140</v>
      </c>
      <c r="I27" s="93">
        <v>-61053</v>
      </c>
      <c r="J27" s="93">
        <v>-63645</v>
      </c>
      <c r="K27" s="93">
        <v>-52729</v>
      </c>
      <c r="L27" s="93">
        <v>-59612</v>
      </c>
    </row>
    <row r="28" spans="1:12" x14ac:dyDescent="0.3">
      <c r="A28" s="92" t="s">
        <v>137</v>
      </c>
      <c r="B28" s="81">
        <v>-4893</v>
      </c>
      <c r="C28" s="81">
        <v>-4589</v>
      </c>
      <c r="D28" s="81">
        <v>-6737</v>
      </c>
      <c r="E28" s="81">
        <v>-11955</v>
      </c>
      <c r="F28" s="81">
        <v>-13427</v>
      </c>
      <c r="G28" s="81">
        <v>-16861</v>
      </c>
      <c r="H28" s="81">
        <v>-40140</v>
      </c>
      <c r="I28" s="81">
        <v>-61053</v>
      </c>
      <c r="J28" s="81">
        <v>-63645</v>
      </c>
      <c r="K28" s="81">
        <v>-52729</v>
      </c>
      <c r="L28" s="81">
        <v>-59612</v>
      </c>
    </row>
    <row r="29" spans="1:12" x14ac:dyDescent="0.3">
      <c r="A29" s="96" t="s">
        <v>138</v>
      </c>
      <c r="B29" s="83">
        <v>-979</v>
      </c>
      <c r="C29" s="83">
        <v>-795</v>
      </c>
      <c r="D29" s="83">
        <v>-116</v>
      </c>
      <c r="E29" s="83">
        <v>-13972</v>
      </c>
      <c r="F29" s="83">
        <v>-2186</v>
      </c>
      <c r="G29" s="83">
        <v>-2461</v>
      </c>
      <c r="H29" s="83">
        <v>-2325</v>
      </c>
      <c r="I29" s="83">
        <v>-1985</v>
      </c>
      <c r="J29" s="83">
        <v>-8316</v>
      </c>
      <c r="K29" s="83">
        <v>-5839</v>
      </c>
      <c r="L29" s="83">
        <v>-5935</v>
      </c>
    </row>
    <row r="30" spans="1:12" x14ac:dyDescent="0.3">
      <c r="A30" s="95" t="s">
        <v>139</v>
      </c>
      <c r="B30" s="80">
        <v>0</v>
      </c>
      <c r="C30" s="80">
        <v>0</v>
      </c>
      <c r="D30" s="80">
        <v>0</v>
      </c>
      <c r="E30" s="80">
        <v>1897</v>
      </c>
      <c r="F30" s="80">
        <v>2104</v>
      </c>
      <c r="G30" s="80">
        <v>4172</v>
      </c>
      <c r="H30" s="80">
        <v>5096</v>
      </c>
      <c r="I30" s="80">
        <v>5657</v>
      </c>
      <c r="J30" s="80">
        <v>5324</v>
      </c>
      <c r="K30" s="80">
        <v>4596</v>
      </c>
      <c r="L30" s="80">
        <v>4633</v>
      </c>
    </row>
    <row r="31" spans="1:12" x14ac:dyDescent="0.3">
      <c r="A31" s="94" t="s">
        <v>140</v>
      </c>
      <c r="B31" s="93">
        <v>807</v>
      </c>
      <c r="C31" s="93">
        <v>-1066</v>
      </c>
      <c r="D31" s="93">
        <v>-3023</v>
      </c>
      <c r="E31" s="93">
        <v>-3789</v>
      </c>
      <c r="F31" s="93">
        <v>1140</v>
      </c>
      <c r="G31" s="93">
        <v>-9131</v>
      </c>
      <c r="H31" s="93">
        <v>-22242</v>
      </c>
      <c r="I31" s="93">
        <v>-773</v>
      </c>
      <c r="J31" s="93">
        <v>29036</v>
      </c>
      <c r="K31" s="93">
        <v>4139</v>
      </c>
      <c r="L31" s="93">
        <v>-3440</v>
      </c>
    </row>
    <row r="32" spans="1:12" x14ac:dyDescent="0.3">
      <c r="A32" s="92" t="s">
        <v>141</v>
      </c>
      <c r="B32" s="80">
        <v>2542</v>
      </c>
      <c r="C32" s="80">
        <v>4091</v>
      </c>
      <c r="D32" s="80">
        <v>7756</v>
      </c>
      <c r="E32" s="80">
        <v>13777</v>
      </c>
      <c r="F32" s="80">
        <v>7100</v>
      </c>
      <c r="G32" s="80">
        <v>31812</v>
      </c>
      <c r="H32" s="80">
        <v>72479</v>
      </c>
      <c r="I32" s="80">
        <v>60157</v>
      </c>
      <c r="J32" s="80">
        <v>2565</v>
      </c>
      <c r="K32" s="80">
        <v>1488</v>
      </c>
      <c r="L32" s="80">
        <v>11058</v>
      </c>
    </row>
    <row r="33" spans="1:12" x14ac:dyDescent="0.3">
      <c r="A33" s="91" t="s">
        <v>142</v>
      </c>
      <c r="B33" s="85">
        <v>3349</v>
      </c>
      <c r="C33" s="85">
        <v>3025</v>
      </c>
      <c r="D33" s="85">
        <v>4733</v>
      </c>
      <c r="E33" s="85">
        <v>9988</v>
      </c>
      <c r="F33" s="85">
        <v>8240</v>
      </c>
      <c r="G33" s="85">
        <v>22681</v>
      </c>
      <c r="H33" s="85">
        <v>50237</v>
      </c>
      <c r="I33" s="85">
        <v>59384</v>
      </c>
      <c r="J33" s="85">
        <v>31601</v>
      </c>
      <c r="K33" s="85">
        <v>5627</v>
      </c>
      <c r="L33" s="85">
        <v>7618</v>
      </c>
    </row>
    <row r="34" spans="1:12" x14ac:dyDescent="0.3">
      <c r="A34" s="95" t="s">
        <v>143</v>
      </c>
      <c r="B34" s="81">
        <v>-5065</v>
      </c>
      <c r="C34" s="81">
        <v>-6450</v>
      </c>
      <c r="D34" s="81">
        <v>-9876</v>
      </c>
      <c r="E34" s="81">
        <v>-27819</v>
      </c>
      <c r="F34" s="81">
        <v>-12369</v>
      </c>
      <c r="G34" s="81">
        <v>-24281</v>
      </c>
      <c r="H34" s="81">
        <v>-59611</v>
      </c>
      <c r="I34" s="81">
        <v>-58154</v>
      </c>
      <c r="J34" s="81">
        <v>-37601</v>
      </c>
      <c r="K34" s="81">
        <v>-49833</v>
      </c>
      <c r="L34" s="81">
        <v>-64354</v>
      </c>
    </row>
    <row r="35" spans="1:12" x14ac:dyDescent="0.3">
      <c r="A35" s="103" t="s">
        <v>144</v>
      </c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1:12" x14ac:dyDescent="0.3">
      <c r="A36" s="102" t="s">
        <v>145</v>
      </c>
      <c r="B36" s="100">
        <v>0</v>
      </c>
      <c r="C36" s="100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v>0</v>
      </c>
      <c r="I36" s="100">
        <v>0</v>
      </c>
      <c r="J36" s="100">
        <v>-6000</v>
      </c>
      <c r="K36" s="100">
        <v>0</v>
      </c>
      <c r="L36" s="100">
        <v>0</v>
      </c>
    </row>
    <row r="37" spans="1:12" x14ac:dyDescent="0.3">
      <c r="A37" s="91" t="s">
        <v>146</v>
      </c>
      <c r="B37" s="85">
        <v>0</v>
      </c>
      <c r="C37" s="85">
        <v>0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  <c r="I37" s="85">
        <v>0</v>
      </c>
      <c r="J37" s="83">
        <v>-6000</v>
      </c>
      <c r="K37" s="85">
        <v>0</v>
      </c>
      <c r="L37" s="85">
        <v>0</v>
      </c>
    </row>
    <row r="38" spans="1:12" x14ac:dyDescent="0.3">
      <c r="A38" s="102" t="s">
        <v>147</v>
      </c>
      <c r="B38" s="100">
        <v>4426</v>
      </c>
      <c r="C38" s="100">
        <v>-3882</v>
      </c>
      <c r="D38" s="100">
        <v>-3740</v>
      </c>
      <c r="E38" s="100">
        <v>9860</v>
      </c>
      <c r="F38" s="100">
        <v>-7686</v>
      </c>
      <c r="G38" s="100">
        <v>-10066</v>
      </c>
      <c r="H38" s="100">
        <v>-1104</v>
      </c>
      <c r="I38" s="100">
        <v>6291</v>
      </c>
      <c r="J38" s="100">
        <v>15718</v>
      </c>
      <c r="K38" s="100">
        <v>-15879</v>
      </c>
      <c r="L38" s="100">
        <v>-21440</v>
      </c>
    </row>
    <row r="39" spans="1:12" x14ac:dyDescent="0.3">
      <c r="A39" s="91" t="s">
        <v>148</v>
      </c>
      <c r="B39" s="85">
        <v>0</v>
      </c>
      <c r="C39" s="85">
        <v>0</v>
      </c>
      <c r="D39" s="85">
        <v>0</v>
      </c>
      <c r="E39" s="85">
        <v>0</v>
      </c>
      <c r="F39" s="85">
        <v>0</v>
      </c>
      <c r="G39" s="85">
        <v>0</v>
      </c>
      <c r="H39" s="85">
        <v>619</v>
      </c>
      <c r="I39" s="85">
        <v>203</v>
      </c>
      <c r="J39" s="85">
        <v>3999</v>
      </c>
      <c r="K39" s="83">
        <v>-7548</v>
      </c>
      <c r="L39" s="83">
        <v>-13253</v>
      </c>
    </row>
    <row r="40" spans="1:12" x14ac:dyDescent="0.3">
      <c r="A40" s="101" t="s">
        <v>149</v>
      </c>
      <c r="B40" s="100">
        <v>4426</v>
      </c>
      <c r="C40" s="100">
        <v>-3882</v>
      </c>
      <c r="D40" s="100">
        <v>-3740</v>
      </c>
      <c r="E40" s="100">
        <v>9860</v>
      </c>
      <c r="F40" s="100">
        <v>-7686</v>
      </c>
      <c r="G40" s="100">
        <v>-10066</v>
      </c>
      <c r="H40" s="100">
        <v>-1723</v>
      </c>
      <c r="I40" s="100">
        <v>6088</v>
      </c>
      <c r="J40" s="100">
        <v>11719</v>
      </c>
      <c r="K40" s="100">
        <v>-8331</v>
      </c>
      <c r="L40" s="100">
        <v>-8187</v>
      </c>
    </row>
    <row r="41" spans="1:12" x14ac:dyDescent="0.3">
      <c r="A41" s="99" t="s">
        <v>150</v>
      </c>
      <c r="B41" s="85">
        <v>6359</v>
      </c>
      <c r="C41" s="85">
        <v>353</v>
      </c>
      <c r="D41" s="85">
        <v>621</v>
      </c>
      <c r="E41" s="85">
        <v>16231</v>
      </c>
      <c r="F41" s="85">
        <v>768</v>
      </c>
      <c r="G41" s="85">
        <v>2273</v>
      </c>
      <c r="H41" s="85">
        <v>10525</v>
      </c>
      <c r="I41" s="85">
        <v>19003</v>
      </c>
      <c r="J41" s="85">
        <v>21166</v>
      </c>
      <c r="K41" s="85">
        <v>0</v>
      </c>
      <c r="L41" s="85">
        <v>0</v>
      </c>
    </row>
    <row r="42" spans="1:12" x14ac:dyDescent="0.3">
      <c r="A42" s="98" t="s">
        <v>151</v>
      </c>
      <c r="B42" s="81">
        <v>-1933</v>
      </c>
      <c r="C42" s="81">
        <v>-4235</v>
      </c>
      <c r="D42" s="81">
        <v>-4361</v>
      </c>
      <c r="E42" s="81">
        <v>-6371</v>
      </c>
      <c r="F42" s="81">
        <v>-8454</v>
      </c>
      <c r="G42" s="81">
        <v>-12339</v>
      </c>
      <c r="H42" s="81">
        <v>-12248</v>
      </c>
      <c r="I42" s="81">
        <v>-12915</v>
      </c>
      <c r="J42" s="81">
        <v>-9447</v>
      </c>
      <c r="K42" s="81">
        <v>-8331</v>
      </c>
      <c r="L42" s="81">
        <v>-8187</v>
      </c>
    </row>
    <row r="43" spans="1:12" x14ac:dyDescent="0.3">
      <c r="A43" s="94" t="s">
        <v>126</v>
      </c>
      <c r="B43" s="93">
        <v>6</v>
      </c>
      <c r="C43" s="93">
        <v>119</v>
      </c>
      <c r="D43" s="93">
        <v>829</v>
      </c>
      <c r="E43" s="93">
        <v>0</v>
      </c>
      <c r="F43" s="93">
        <v>0</v>
      </c>
      <c r="G43" s="93">
        <v>0</v>
      </c>
      <c r="H43" s="93">
        <v>0</v>
      </c>
      <c r="I43" s="93">
        <v>0</v>
      </c>
      <c r="J43" s="93">
        <v>0</v>
      </c>
      <c r="K43" s="93">
        <v>0</v>
      </c>
      <c r="L43" s="93">
        <v>0</v>
      </c>
    </row>
    <row r="44" spans="1:12" x14ac:dyDescent="0.3">
      <c r="A44" s="92" t="s">
        <v>152</v>
      </c>
      <c r="B44" s="80">
        <v>6</v>
      </c>
      <c r="C44" s="80">
        <v>119</v>
      </c>
      <c r="D44" s="80">
        <v>829</v>
      </c>
      <c r="E44" s="80">
        <v>0</v>
      </c>
      <c r="F44" s="80">
        <v>0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</row>
    <row r="45" spans="1:12" x14ac:dyDescent="0.3">
      <c r="A45" s="96" t="s">
        <v>153</v>
      </c>
      <c r="B45" s="85">
        <v>4432</v>
      </c>
      <c r="C45" s="83">
        <v>-3763</v>
      </c>
      <c r="D45" s="83">
        <v>-2911</v>
      </c>
      <c r="E45" s="85">
        <v>9860</v>
      </c>
      <c r="F45" s="83">
        <v>-7686</v>
      </c>
      <c r="G45" s="83">
        <v>-10066</v>
      </c>
      <c r="H45" s="83">
        <v>-1104</v>
      </c>
      <c r="I45" s="85">
        <v>6291</v>
      </c>
      <c r="J45" s="85">
        <v>9718</v>
      </c>
      <c r="K45" s="83">
        <v>-15879</v>
      </c>
      <c r="L45" s="83">
        <v>-21440</v>
      </c>
    </row>
    <row r="46" spans="1:12" x14ac:dyDescent="0.3">
      <c r="A46" s="97" t="s">
        <v>154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</row>
    <row r="47" spans="1:12" x14ac:dyDescent="0.3">
      <c r="A47" s="96" t="s">
        <v>155</v>
      </c>
      <c r="B47" s="83">
        <v>-310</v>
      </c>
      <c r="C47" s="83">
        <v>-374</v>
      </c>
      <c r="D47" s="83">
        <v>-212</v>
      </c>
      <c r="E47" s="85">
        <v>713</v>
      </c>
      <c r="F47" s="83">
        <v>-351</v>
      </c>
      <c r="G47" s="85">
        <v>70</v>
      </c>
      <c r="H47" s="85">
        <v>618</v>
      </c>
      <c r="I47" s="83">
        <v>-364</v>
      </c>
      <c r="J47" s="83">
        <v>-1093</v>
      </c>
      <c r="K47" s="85">
        <v>403</v>
      </c>
      <c r="L47" s="83">
        <v>-552</v>
      </c>
    </row>
    <row r="48" spans="1:12" x14ac:dyDescent="0.3">
      <c r="A48" s="95" t="s">
        <v>156</v>
      </c>
      <c r="B48" s="80">
        <v>5899</v>
      </c>
      <c r="C48" s="80">
        <v>1333</v>
      </c>
      <c r="D48" s="80">
        <v>3444</v>
      </c>
      <c r="E48" s="80">
        <v>1188</v>
      </c>
      <c r="F48" s="80">
        <v>10317</v>
      </c>
      <c r="G48" s="80">
        <v>4237</v>
      </c>
      <c r="H48" s="80">
        <v>5967</v>
      </c>
      <c r="I48" s="81">
        <v>-5900</v>
      </c>
      <c r="J48" s="80">
        <v>17776</v>
      </c>
      <c r="K48" s="80">
        <v>19637</v>
      </c>
      <c r="L48" s="80">
        <v>21606</v>
      </c>
    </row>
    <row r="49" spans="1:12" x14ac:dyDescent="0.3">
      <c r="A49" s="94" t="s">
        <v>157</v>
      </c>
      <c r="B49" s="93">
        <v>1949</v>
      </c>
      <c r="C49" s="93">
        <v>7331</v>
      </c>
      <c r="D49" s="93">
        <v>9706</v>
      </c>
      <c r="E49" s="93">
        <v>6479</v>
      </c>
      <c r="F49" s="93">
        <v>17296</v>
      </c>
      <c r="G49" s="93">
        <v>21653</v>
      </c>
      <c r="H49" s="93">
        <v>25924</v>
      </c>
      <c r="I49" s="93">
        <v>-14726</v>
      </c>
      <c r="J49" s="93">
        <v>-16893</v>
      </c>
      <c r="K49" s="93">
        <v>32217</v>
      </c>
      <c r="L49" s="93">
        <v>48340</v>
      </c>
    </row>
    <row r="50" spans="1:12" x14ac:dyDescent="0.3">
      <c r="A50" s="92" t="s">
        <v>158</v>
      </c>
      <c r="B50" s="80">
        <v>0.21093100000000001</v>
      </c>
      <c r="C50" s="80">
        <v>0.76844900000000005</v>
      </c>
      <c r="D50" s="80">
        <v>1.002686</v>
      </c>
      <c r="E50" s="80">
        <v>0.65709899999999999</v>
      </c>
      <c r="F50" s="80">
        <v>1.7296</v>
      </c>
      <c r="G50" s="80">
        <v>2.1481150000000002</v>
      </c>
      <c r="H50" s="80">
        <v>2.541569</v>
      </c>
      <c r="I50" s="81">
        <v>-1.4297089999999999</v>
      </c>
      <c r="J50" s="81">
        <v>-1.657964</v>
      </c>
      <c r="K50" s="80">
        <v>3.0706250000000002</v>
      </c>
      <c r="L50" s="80">
        <v>4.5143820000000003</v>
      </c>
    </row>
    <row r="51" spans="1:12" x14ac:dyDescent="0.3">
      <c r="A51" s="91" t="s">
        <v>159</v>
      </c>
      <c r="B51" s="89">
        <v>1.3593090000000001</v>
      </c>
      <c r="C51" s="89">
        <v>2.2738870000000002</v>
      </c>
      <c r="D51" s="89">
        <v>2.674293</v>
      </c>
      <c r="E51" s="89">
        <v>1.123756</v>
      </c>
      <c r="F51" s="89">
        <v>2.3031079999999999</v>
      </c>
      <c r="G51" s="89">
        <v>2.3250009999999999</v>
      </c>
      <c r="H51" s="89">
        <v>1.5607139999999999</v>
      </c>
      <c r="I51" s="90">
        <v>-0.85756600000000005</v>
      </c>
      <c r="J51" s="90">
        <v>-1.973767</v>
      </c>
      <c r="K51" s="89">
        <v>2.0209459999999999</v>
      </c>
      <c r="L51" s="89">
        <v>2.3360319999999999</v>
      </c>
    </row>
    <row r="52" spans="1:12" x14ac:dyDescent="0.3">
      <c r="A52" s="88" t="s">
        <v>112</v>
      </c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10E9-9709-4079-9B8B-371A5885CD3F}">
  <dimension ref="A1:H21"/>
  <sheetViews>
    <sheetView workbookViewId="0">
      <selection activeCell="B21" sqref="B21"/>
    </sheetView>
  </sheetViews>
  <sheetFormatPr defaultRowHeight="14.4" x14ac:dyDescent="0.3"/>
  <cols>
    <col min="1" max="1" width="18" bestFit="1" customWidth="1"/>
    <col min="2" max="2" width="20.33203125" bestFit="1" customWidth="1"/>
  </cols>
  <sheetData>
    <row r="1" spans="1:8" ht="25.8" x14ac:dyDescent="0.5">
      <c r="A1" s="125" t="s">
        <v>170</v>
      </c>
      <c r="D1" t="s">
        <v>181</v>
      </c>
    </row>
    <row r="2" spans="1:8" x14ac:dyDescent="0.3">
      <c r="A2" s="127">
        <v>45556</v>
      </c>
    </row>
    <row r="4" spans="1:8" x14ac:dyDescent="0.3">
      <c r="A4" s="24" t="s">
        <v>170</v>
      </c>
      <c r="B4" s="24"/>
      <c r="C4" s="24"/>
      <c r="D4" s="24"/>
      <c r="E4" s="24"/>
      <c r="F4" s="24"/>
      <c r="G4" s="24"/>
      <c r="H4" s="24"/>
    </row>
    <row r="6" spans="1:8" x14ac:dyDescent="0.3">
      <c r="A6" t="s">
        <v>171</v>
      </c>
      <c r="B6" s="106">
        <v>2010000</v>
      </c>
    </row>
    <row r="7" spans="1:8" x14ac:dyDescent="0.3">
      <c r="A7" t="s">
        <v>172</v>
      </c>
      <c r="B7" s="27">
        <f>B6/B19</f>
        <v>0.97341794159395489</v>
      </c>
    </row>
    <row r="8" spans="1:8" x14ac:dyDescent="0.3">
      <c r="A8" t="s">
        <v>173</v>
      </c>
      <c r="B8" s="126">
        <f>B9+B10*B11</f>
        <v>9.0039999999999995E-2</v>
      </c>
    </row>
    <row r="9" spans="1:8" x14ac:dyDescent="0.3">
      <c r="A9" t="s">
        <v>174</v>
      </c>
      <c r="B9" s="126">
        <v>3.7139999999999999E-2</v>
      </c>
    </row>
    <row r="10" spans="1:8" x14ac:dyDescent="0.3">
      <c r="A10" t="s">
        <v>175</v>
      </c>
      <c r="B10" s="114">
        <v>1.1499999999999999</v>
      </c>
    </row>
    <row r="11" spans="1:8" x14ac:dyDescent="0.3">
      <c r="A11" t="s">
        <v>176</v>
      </c>
      <c r="B11" s="126">
        <v>4.5999999999999999E-2</v>
      </c>
    </row>
    <row r="14" spans="1:8" x14ac:dyDescent="0.3">
      <c r="A14" t="s">
        <v>177</v>
      </c>
      <c r="B14" s="106">
        <v>54889</v>
      </c>
      <c r="E14" s="46"/>
    </row>
    <row r="15" spans="1:8" x14ac:dyDescent="0.3">
      <c r="A15" t="s">
        <v>178</v>
      </c>
      <c r="B15" s="126">
        <f>B14/B19</f>
        <v>2.6582058406045071E-2</v>
      </c>
    </row>
    <row r="16" spans="1:8" x14ac:dyDescent="0.3">
      <c r="A16" t="s">
        <v>179</v>
      </c>
      <c r="B16" s="128">
        <f>1233*2/B14</f>
        <v>4.4927034560658781E-2</v>
      </c>
      <c r="C16" s="128"/>
    </row>
    <row r="17" spans="1:2" x14ac:dyDescent="0.3">
      <c r="A17" t="s">
        <v>180</v>
      </c>
      <c r="B17" s="117">
        <f>DCF!L51</f>
        <v>0.17747629521468311</v>
      </c>
    </row>
    <row r="19" spans="1:2" x14ac:dyDescent="0.3">
      <c r="A19" t="s">
        <v>47</v>
      </c>
      <c r="B19" s="106">
        <f>B6+B14</f>
        <v>2064889</v>
      </c>
    </row>
    <row r="21" spans="1:2" x14ac:dyDescent="0.3">
      <c r="A21" t="s">
        <v>170</v>
      </c>
      <c r="B21" s="131">
        <f>SUM(B7*B8+(B15*B16*(1-B17)))</f>
        <v>8.8628852909769268E-2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F6AB-1C26-43FF-92CC-0EEF9868F1F8}">
  <dimension ref="A1:L53"/>
  <sheetViews>
    <sheetView topLeftCell="A21" workbookViewId="0">
      <selection activeCell="M31" sqref="M31"/>
    </sheetView>
  </sheetViews>
  <sheetFormatPr defaultRowHeight="14.4" x14ac:dyDescent="0.3"/>
  <cols>
    <col min="1" max="1" width="53.44140625" bestFit="1" customWidth="1"/>
  </cols>
  <sheetData>
    <row r="1" spans="1:12" x14ac:dyDescent="0.3">
      <c r="A1" s="55" t="s">
        <v>58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x14ac:dyDescent="0.3">
      <c r="A2" s="72" t="s">
        <v>59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x14ac:dyDescent="0.3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</row>
    <row r="5" spans="1:12" x14ac:dyDescent="0.3">
      <c r="A5" s="54" t="s">
        <v>60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2" x14ac:dyDescent="0.3">
      <c r="A6" s="54" t="s">
        <v>61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spans="1:12" x14ac:dyDescent="0.3">
      <c r="A7" s="54" t="s">
        <v>62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</row>
    <row r="8" spans="1:12" x14ac:dyDescent="0.3">
      <c r="A8" s="54"/>
      <c r="B8" s="54" t="s">
        <v>63</v>
      </c>
      <c r="C8" s="54" t="s">
        <v>64</v>
      </c>
      <c r="D8" s="54" t="s">
        <v>65</v>
      </c>
      <c r="E8" s="54" t="s">
        <v>66</v>
      </c>
      <c r="F8" s="54" t="s">
        <v>67</v>
      </c>
      <c r="G8" s="54" t="s">
        <v>68</v>
      </c>
      <c r="H8" s="54" t="s">
        <v>69</v>
      </c>
      <c r="I8" s="54" t="s">
        <v>70</v>
      </c>
      <c r="J8" s="54" t="s">
        <v>71</v>
      </c>
      <c r="K8" s="54" t="s">
        <v>72</v>
      </c>
      <c r="L8" s="54" t="s">
        <v>73</v>
      </c>
    </row>
    <row r="9" spans="1:12" x14ac:dyDescent="0.3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 t="s">
        <v>74</v>
      </c>
    </row>
    <row r="10" spans="1:12" x14ac:dyDescent="0.3">
      <c r="A10" s="65" t="s">
        <v>39</v>
      </c>
      <c r="B10" s="68">
        <v>88988</v>
      </c>
      <c r="C10" s="68">
        <v>107006</v>
      </c>
      <c r="D10" s="68">
        <v>135987</v>
      </c>
      <c r="E10" s="68">
        <v>177866</v>
      </c>
      <c r="F10" s="68">
        <v>232887</v>
      </c>
      <c r="G10" s="68">
        <v>280522</v>
      </c>
      <c r="H10" s="68">
        <v>386064</v>
      </c>
      <c r="I10" s="68">
        <v>469822</v>
      </c>
      <c r="J10" s="68">
        <v>513983</v>
      </c>
      <c r="K10" s="68">
        <v>574785</v>
      </c>
      <c r="L10" s="68">
        <v>604334</v>
      </c>
    </row>
    <row r="11" spans="1:12" x14ac:dyDescent="0.3">
      <c r="A11" s="62" t="s">
        <v>75</v>
      </c>
      <c r="B11" s="61">
        <v>62752</v>
      </c>
      <c r="C11" s="61">
        <v>71651</v>
      </c>
      <c r="D11" s="61">
        <v>88265</v>
      </c>
      <c r="E11" s="61">
        <v>111934</v>
      </c>
      <c r="F11" s="61">
        <v>139156</v>
      </c>
      <c r="G11" s="61">
        <v>165536</v>
      </c>
      <c r="H11" s="61">
        <v>233307</v>
      </c>
      <c r="I11" s="61">
        <v>272344</v>
      </c>
      <c r="J11" s="61">
        <v>288831</v>
      </c>
      <c r="K11" s="61">
        <v>304739</v>
      </c>
      <c r="L11" s="61">
        <v>313993</v>
      </c>
    </row>
    <row r="12" spans="1:12" x14ac:dyDescent="0.3">
      <c r="A12" s="60" t="s">
        <v>76</v>
      </c>
      <c r="B12" s="48">
        <v>59530</v>
      </c>
      <c r="C12" s="48">
        <v>67109</v>
      </c>
      <c r="D12" s="48">
        <v>82212</v>
      </c>
      <c r="E12" s="48">
        <v>103282</v>
      </c>
      <c r="F12" s="48">
        <v>123815</v>
      </c>
      <c r="G12" s="48">
        <v>143747</v>
      </c>
      <c r="H12" s="48">
        <v>208056</v>
      </c>
      <c r="I12" s="48">
        <v>238048</v>
      </c>
      <c r="J12" s="48">
        <v>246910</v>
      </c>
      <c r="K12" s="48">
        <v>256076</v>
      </c>
      <c r="L12" s="48">
        <v>264320</v>
      </c>
    </row>
    <row r="13" spans="1:12" x14ac:dyDescent="0.3">
      <c r="A13" s="76" t="s">
        <v>77</v>
      </c>
      <c r="B13" s="61">
        <v>3222</v>
      </c>
      <c r="C13" s="61">
        <v>4542</v>
      </c>
      <c r="D13" s="61">
        <v>6053</v>
      </c>
      <c r="E13" s="61">
        <v>8652</v>
      </c>
      <c r="F13" s="61">
        <v>15341</v>
      </c>
      <c r="G13" s="61">
        <v>21789</v>
      </c>
      <c r="H13" s="61">
        <v>25251</v>
      </c>
      <c r="I13" s="61">
        <v>34296</v>
      </c>
      <c r="J13" s="61">
        <v>41921</v>
      </c>
      <c r="K13" s="61">
        <v>48663</v>
      </c>
      <c r="L13" s="61">
        <v>49673</v>
      </c>
    </row>
    <row r="14" spans="1:12" x14ac:dyDescent="0.3">
      <c r="A14" s="66" t="s">
        <v>78</v>
      </c>
      <c r="B14" s="48">
        <v>3041</v>
      </c>
      <c r="C14" s="48">
        <v>4314</v>
      </c>
      <c r="D14" s="48">
        <v>5766</v>
      </c>
      <c r="E14" s="48">
        <v>8286</v>
      </c>
      <c r="F14" s="48">
        <v>14866</v>
      </c>
      <c r="G14" s="48">
        <v>21224</v>
      </c>
      <c r="H14" s="48">
        <v>24742</v>
      </c>
      <c r="I14" s="48">
        <v>33784</v>
      </c>
      <c r="J14" s="48">
        <v>41317</v>
      </c>
      <c r="K14" s="48">
        <v>47957</v>
      </c>
      <c r="L14" s="50"/>
    </row>
    <row r="15" spans="1:12" x14ac:dyDescent="0.3">
      <c r="A15" s="67" t="s">
        <v>79</v>
      </c>
      <c r="B15" s="53">
        <v>181</v>
      </c>
      <c r="C15" s="53">
        <v>228</v>
      </c>
      <c r="D15" s="53">
        <v>287</v>
      </c>
      <c r="E15" s="53">
        <v>366</v>
      </c>
      <c r="F15" s="53">
        <v>475</v>
      </c>
      <c r="G15" s="53">
        <v>565</v>
      </c>
      <c r="H15" s="53">
        <v>509</v>
      </c>
      <c r="I15" s="53">
        <v>512</v>
      </c>
      <c r="J15" s="53">
        <v>604</v>
      </c>
      <c r="K15" s="53">
        <v>706</v>
      </c>
      <c r="L15" s="52"/>
    </row>
    <row r="16" spans="1:12" x14ac:dyDescent="0.3">
      <c r="A16" s="65" t="s">
        <v>80</v>
      </c>
      <c r="B16" s="68">
        <v>26236</v>
      </c>
      <c r="C16" s="68">
        <v>35355</v>
      </c>
      <c r="D16" s="68">
        <v>47722</v>
      </c>
      <c r="E16" s="68">
        <v>65932</v>
      </c>
      <c r="F16" s="68">
        <v>93731</v>
      </c>
      <c r="G16" s="68">
        <v>114986</v>
      </c>
      <c r="H16" s="68">
        <v>152757</v>
      </c>
      <c r="I16" s="68">
        <v>197478</v>
      </c>
      <c r="J16" s="68">
        <v>225152</v>
      </c>
      <c r="K16" s="68">
        <v>270046</v>
      </c>
      <c r="L16" s="68">
        <v>290341</v>
      </c>
    </row>
    <row r="17" spans="1:12" x14ac:dyDescent="0.3">
      <c r="A17" s="62" t="s">
        <v>81</v>
      </c>
      <c r="B17" s="61">
        <v>25925</v>
      </c>
      <c r="C17" s="61">
        <v>32951</v>
      </c>
      <c r="D17" s="61">
        <v>43369</v>
      </c>
      <c r="E17" s="61">
        <v>61612</v>
      </c>
      <c r="F17" s="61">
        <v>81014</v>
      </c>
      <c r="G17" s="61">
        <v>100244</v>
      </c>
      <c r="H17" s="61">
        <v>129933</v>
      </c>
      <c r="I17" s="61">
        <v>172537</v>
      </c>
      <c r="J17" s="61">
        <v>211641</v>
      </c>
      <c r="K17" s="61">
        <v>232427</v>
      </c>
      <c r="L17" s="61">
        <v>235242</v>
      </c>
    </row>
    <row r="18" spans="1:12" x14ac:dyDescent="0.3">
      <c r="A18" s="60" t="s">
        <v>82</v>
      </c>
      <c r="B18" s="48">
        <v>9275</v>
      </c>
      <c r="C18" s="48">
        <v>12540</v>
      </c>
      <c r="D18" s="48">
        <v>16085</v>
      </c>
      <c r="E18" s="48">
        <v>22620</v>
      </c>
      <c r="F18" s="48">
        <v>28837</v>
      </c>
      <c r="G18" s="48">
        <v>35931</v>
      </c>
      <c r="H18" s="48">
        <v>42740</v>
      </c>
      <c r="I18" s="48">
        <v>56052</v>
      </c>
      <c r="J18" s="48">
        <v>73213</v>
      </c>
      <c r="K18" s="48">
        <v>85622</v>
      </c>
      <c r="L18" s="48">
        <v>85969</v>
      </c>
    </row>
    <row r="19" spans="1:12" x14ac:dyDescent="0.3">
      <c r="A19" s="59" t="s">
        <v>83</v>
      </c>
      <c r="B19" s="53">
        <v>16650</v>
      </c>
      <c r="C19" s="53">
        <v>20411</v>
      </c>
      <c r="D19" s="53">
        <v>27284</v>
      </c>
      <c r="E19" s="53">
        <v>38992</v>
      </c>
      <c r="F19" s="53">
        <v>52177</v>
      </c>
      <c r="G19" s="53">
        <v>64313</v>
      </c>
      <c r="H19" s="53">
        <v>87193</v>
      </c>
      <c r="I19" s="53">
        <v>116485</v>
      </c>
      <c r="J19" s="53">
        <v>138428</v>
      </c>
      <c r="K19" s="53">
        <v>146805</v>
      </c>
      <c r="L19" s="53">
        <v>149273</v>
      </c>
    </row>
    <row r="20" spans="1:12" x14ac:dyDescent="0.3">
      <c r="A20" s="65" t="s">
        <v>84</v>
      </c>
      <c r="B20" s="68">
        <v>311</v>
      </c>
      <c r="C20" s="68">
        <v>2404</v>
      </c>
      <c r="D20" s="68">
        <v>4353</v>
      </c>
      <c r="E20" s="68">
        <v>4320</v>
      </c>
      <c r="F20" s="68">
        <v>12717</v>
      </c>
      <c r="G20" s="68">
        <v>14742</v>
      </c>
      <c r="H20" s="68">
        <v>22824</v>
      </c>
      <c r="I20" s="68">
        <v>24941</v>
      </c>
      <c r="J20" s="68">
        <v>13511</v>
      </c>
      <c r="K20" s="68">
        <v>37619</v>
      </c>
      <c r="L20" s="68">
        <v>55099</v>
      </c>
    </row>
    <row r="21" spans="1:12" x14ac:dyDescent="0.3">
      <c r="A21" s="62" t="s">
        <v>85</v>
      </c>
      <c r="B21" s="61">
        <v>-212</v>
      </c>
      <c r="C21" s="61">
        <v>-377</v>
      </c>
      <c r="D21" s="61">
        <v>-44</v>
      </c>
      <c r="E21" s="61">
        <v>225</v>
      </c>
      <c r="F21" s="61">
        <v>92</v>
      </c>
      <c r="G21" s="61">
        <v>823</v>
      </c>
      <c r="H21" s="61">
        <v>1501</v>
      </c>
      <c r="I21" s="61">
        <v>2178</v>
      </c>
      <c r="J21" s="61">
        <v>-1078</v>
      </c>
      <c r="K21" s="61">
        <v>2110</v>
      </c>
      <c r="L21" s="61">
        <v>2758</v>
      </c>
    </row>
    <row r="22" spans="1:12" x14ac:dyDescent="0.3">
      <c r="A22" s="60" t="s">
        <v>86</v>
      </c>
      <c r="B22" s="48">
        <v>39</v>
      </c>
      <c r="C22" s="48">
        <v>50</v>
      </c>
      <c r="D22" s="48">
        <v>100</v>
      </c>
      <c r="E22" s="48">
        <v>202</v>
      </c>
      <c r="F22" s="48">
        <v>440</v>
      </c>
      <c r="G22" s="48">
        <v>832</v>
      </c>
      <c r="H22" s="48">
        <v>555</v>
      </c>
      <c r="I22" s="48">
        <v>448</v>
      </c>
      <c r="J22" s="48">
        <v>989</v>
      </c>
      <c r="K22" s="48">
        <v>2949</v>
      </c>
      <c r="L22" s="48">
        <v>3850</v>
      </c>
    </row>
    <row r="23" spans="1:12" x14ac:dyDescent="0.3">
      <c r="A23" s="59" t="s">
        <v>87</v>
      </c>
      <c r="B23" s="51">
        <v>-251</v>
      </c>
      <c r="C23" s="51">
        <v>-427</v>
      </c>
      <c r="D23" s="51">
        <v>-144</v>
      </c>
      <c r="E23" s="53">
        <v>23</v>
      </c>
      <c r="F23" s="51">
        <v>-348</v>
      </c>
      <c r="G23" s="51">
        <v>-9</v>
      </c>
      <c r="H23" s="53">
        <v>946</v>
      </c>
      <c r="I23" s="53">
        <v>1730</v>
      </c>
      <c r="J23" s="51">
        <v>-2067</v>
      </c>
      <c r="K23" s="51">
        <v>-839</v>
      </c>
      <c r="L23" s="51">
        <v>-1092</v>
      </c>
    </row>
    <row r="24" spans="1:12" x14ac:dyDescent="0.3">
      <c r="A24" s="69" t="s">
        <v>88</v>
      </c>
      <c r="B24" s="68">
        <v>210</v>
      </c>
      <c r="C24" s="68">
        <v>459</v>
      </c>
      <c r="D24" s="68">
        <v>484</v>
      </c>
      <c r="E24" s="68">
        <v>848</v>
      </c>
      <c r="F24" s="68">
        <v>1417</v>
      </c>
      <c r="G24" s="68">
        <v>1600</v>
      </c>
      <c r="H24" s="68">
        <v>1647</v>
      </c>
      <c r="I24" s="68">
        <v>1809</v>
      </c>
      <c r="J24" s="68">
        <v>2367</v>
      </c>
      <c r="K24" s="68">
        <v>3182</v>
      </c>
      <c r="L24" s="68">
        <v>2752</v>
      </c>
    </row>
    <row r="25" spans="1:12" x14ac:dyDescent="0.3">
      <c r="A25" s="59" t="s">
        <v>89</v>
      </c>
      <c r="B25" s="53">
        <v>210</v>
      </c>
      <c r="C25" s="53">
        <v>459</v>
      </c>
      <c r="D25" s="53">
        <v>484</v>
      </c>
      <c r="E25" s="53">
        <v>848</v>
      </c>
      <c r="F25" s="53">
        <v>1417</v>
      </c>
      <c r="G25" s="53">
        <v>1600</v>
      </c>
      <c r="H25" s="53">
        <v>1647</v>
      </c>
      <c r="I25" s="53">
        <v>1809</v>
      </c>
      <c r="J25" s="53">
        <v>2367</v>
      </c>
      <c r="K25" s="53">
        <v>3182</v>
      </c>
      <c r="L25" s="53">
        <v>2752</v>
      </c>
    </row>
    <row r="26" spans="1:12" x14ac:dyDescent="0.3">
      <c r="A26" s="69" t="s">
        <v>90</v>
      </c>
      <c r="B26" s="65"/>
      <c r="C26" s="65"/>
      <c r="D26" s="68">
        <v>-67</v>
      </c>
      <c r="E26" s="68">
        <v>-109</v>
      </c>
      <c r="F26" s="68">
        <v>131</v>
      </c>
      <c r="G26" s="68">
        <v>-11</v>
      </c>
      <c r="H26" s="68">
        <v>-1500</v>
      </c>
      <c r="I26" s="68">
        <v>-12841</v>
      </c>
      <c r="J26" s="68">
        <v>16002</v>
      </c>
      <c r="K26" s="68">
        <v>-1010</v>
      </c>
      <c r="L26" s="68">
        <v>1002</v>
      </c>
    </row>
    <row r="27" spans="1:12" x14ac:dyDescent="0.3">
      <c r="A27" s="76" t="s">
        <v>91</v>
      </c>
      <c r="B27" s="70"/>
      <c r="C27" s="70"/>
      <c r="D27" s="61">
        <v>67</v>
      </c>
      <c r="E27" s="61">
        <v>109</v>
      </c>
      <c r="F27" s="61">
        <v>-131</v>
      </c>
      <c r="G27" s="61">
        <v>11</v>
      </c>
      <c r="H27" s="61">
        <v>1500</v>
      </c>
      <c r="I27" s="61">
        <v>12841</v>
      </c>
      <c r="J27" s="61">
        <v>-16002</v>
      </c>
      <c r="K27" s="61">
        <v>1010</v>
      </c>
      <c r="L27" s="61">
        <v>-832</v>
      </c>
    </row>
    <row r="28" spans="1:12" x14ac:dyDescent="0.3">
      <c r="A28" s="66" t="s">
        <v>92</v>
      </c>
      <c r="B28" s="50"/>
      <c r="C28" s="50"/>
      <c r="D28" s="50"/>
      <c r="E28" s="50"/>
      <c r="F28" s="50"/>
      <c r="G28" s="50"/>
      <c r="H28" s="50"/>
      <c r="I28" s="48">
        <v>11526</v>
      </c>
      <c r="J28" s="49">
        <v>-13870</v>
      </c>
      <c r="K28" s="48">
        <v>984</v>
      </c>
      <c r="L28" s="49">
        <v>-518</v>
      </c>
    </row>
    <row r="29" spans="1:12" x14ac:dyDescent="0.3">
      <c r="A29" s="67" t="s">
        <v>93</v>
      </c>
      <c r="B29" s="52"/>
      <c r="C29" s="52"/>
      <c r="D29" s="53">
        <v>67</v>
      </c>
      <c r="E29" s="53">
        <v>109</v>
      </c>
      <c r="F29" s="51">
        <v>-131</v>
      </c>
      <c r="G29" s="53">
        <v>11</v>
      </c>
      <c r="H29" s="53">
        <v>1500</v>
      </c>
      <c r="I29" s="53">
        <v>1315</v>
      </c>
      <c r="J29" s="51">
        <v>-2132</v>
      </c>
      <c r="K29" s="53">
        <v>26</v>
      </c>
      <c r="L29" s="51">
        <v>-314</v>
      </c>
    </row>
    <row r="30" spans="1:12" x14ac:dyDescent="0.3">
      <c r="A30" s="65" t="s">
        <v>94</v>
      </c>
      <c r="B30" s="68">
        <v>-111</v>
      </c>
      <c r="C30" s="68">
        <v>1568</v>
      </c>
      <c r="D30" s="68">
        <v>3892</v>
      </c>
      <c r="E30" s="68">
        <v>3806</v>
      </c>
      <c r="F30" s="68">
        <v>11261</v>
      </c>
      <c r="G30" s="68">
        <v>13976</v>
      </c>
      <c r="H30" s="68">
        <v>24178</v>
      </c>
      <c r="I30" s="68">
        <v>38151</v>
      </c>
      <c r="J30" s="68">
        <v>-5936</v>
      </c>
      <c r="K30" s="68">
        <v>37557</v>
      </c>
      <c r="L30" s="68">
        <v>54103</v>
      </c>
    </row>
    <row r="31" spans="1:12" x14ac:dyDescent="0.3">
      <c r="A31" s="62" t="s">
        <v>95</v>
      </c>
      <c r="B31" s="61">
        <v>167</v>
      </c>
      <c r="C31" s="61">
        <v>950</v>
      </c>
      <c r="D31" s="61">
        <v>1425</v>
      </c>
      <c r="E31" s="61">
        <v>769</v>
      </c>
      <c r="F31" s="61">
        <v>1197</v>
      </c>
      <c r="G31" s="61">
        <v>2374</v>
      </c>
      <c r="H31" s="61">
        <v>2863</v>
      </c>
      <c r="I31" s="61">
        <v>4791</v>
      </c>
      <c r="J31" s="61">
        <v>-3217</v>
      </c>
      <c r="K31" s="61">
        <v>7120</v>
      </c>
      <c r="L31" s="61">
        <v>9602</v>
      </c>
    </row>
    <row r="32" spans="1:12" x14ac:dyDescent="0.3">
      <c r="A32" s="60" t="s">
        <v>96</v>
      </c>
      <c r="B32" s="48">
        <v>279</v>
      </c>
      <c r="C32" s="48">
        <v>452</v>
      </c>
      <c r="D32" s="48">
        <v>1344</v>
      </c>
      <c r="E32" s="48">
        <v>74</v>
      </c>
      <c r="F32" s="48">
        <v>193</v>
      </c>
      <c r="G32" s="48">
        <v>438</v>
      </c>
      <c r="H32" s="48">
        <v>2461</v>
      </c>
      <c r="I32" s="48">
        <v>2892</v>
      </c>
      <c r="J32" s="48">
        <v>3249</v>
      </c>
      <c r="K32" s="48">
        <v>10810</v>
      </c>
      <c r="L32" s="50"/>
    </row>
    <row r="33" spans="1:12" x14ac:dyDescent="0.3">
      <c r="A33" s="59" t="s">
        <v>97</v>
      </c>
      <c r="B33" s="53">
        <v>204</v>
      </c>
      <c r="C33" s="53">
        <v>417</v>
      </c>
      <c r="D33" s="53">
        <v>327</v>
      </c>
      <c r="E33" s="53">
        <v>724</v>
      </c>
      <c r="F33" s="53">
        <v>563</v>
      </c>
      <c r="G33" s="53">
        <v>1140</v>
      </c>
      <c r="H33" s="53">
        <v>956</v>
      </c>
      <c r="I33" s="53">
        <v>2209</v>
      </c>
      <c r="J33" s="53">
        <v>1682</v>
      </c>
      <c r="K33" s="53">
        <v>2186</v>
      </c>
      <c r="L33" s="52"/>
    </row>
    <row r="34" spans="1:12" x14ac:dyDescent="0.3">
      <c r="A34" s="60" t="s">
        <v>98</v>
      </c>
      <c r="B34" s="49">
        <v>-136</v>
      </c>
      <c r="C34" s="48">
        <v>302</v>
      </c>
      <c r="D34" s="48">
        <v>85</v>
      </c>
      <c r="E34" s="49">
        <v>-228</v>
      </c>
      <c r="F34" s="48">
        <v>570</v>
      </c>
      <c r="G34" s="48">
        <v>922</v>
      </c>
      <c r="H34" s="49">
        <v>-341</v>
      </c>
      <c r="I34" s="49">
        <v>-23</v>
      </c>
      <c r="J34" s="49">
        <v>-7988</v>
      </c>
      <c r="K34" s="49">
        <v>-6003</v>
      </c>
      <c r="L34" s="50"/>
    </row>
    <row r="35" spans="1:12" x14ac:dyDescent="0.3">
      <c r="A35" s="59" t="s">
        <v>99</v>
      </c>
      <c r="B35" s="51">
        <v>-180</v>
      </c>
      <c r="C35" s="51">
        <v>-221</v>
      </c>
      <c r="D35" s="51">
        <v>-331</v>
      </c>
      <c r="E35" s="53">
        <v>199</v>
      </c>
      <c r="F35" s="51">
        <v>-129</v>
      </c>
      <c r="G35" s="51">
        <v>-126</v>
      </c>
      <c r="H35" s="51">
        <v>-213</v>
      </c>
      <c r="I35" s="51">
        <v>-287</v>
      </c>
      <c r="J35" s="51">
        <v>-160</v>
      </c>
      <c r="K35" s="53">
        <v>127</v>
      </c>
      <c r="L35" s="52"/>
    </row>
    <row r="36" spans="1:12" x14ac:dyDescent="0.3">
      <c r="A36" s="63" t="s">
        <v>100</v>
      </c>
      <c r="B36" s="48">
        <v>37</v>
      </c>
      <c r="C36" s="49">
        <v>-22</v>
      </c>
      <c r="D36" s="49">
        <v>-96</v>
      </c>
      <c r="E36" s="49">
        <v>-4</v>
      </c>
      <c r="F36" s="48">
        <v>9</v>
      </c>
      <c r="G36" s="49">
        <v>-14</v>
      </c>
      <c r="H36" s="48">
        <v>16</v>
      </c>
      <c r="I36" s="48">
        <v>4</v>
      </c>
      <c r="J36" s="49">
        <v>-3</v>
      </c>
      <c r="K36" s="49">
        <v>-12</v>
      </c>
      <c r="L36" s="49">
        <v>-82</v>
      </c>
    </row>
    <row r="37" spans="1:12" x14ac:dyDescent="0.3">
      <c r="A37" s="52" t="s">
        <v>101</v>
      </c>
      <c r="B37" s="51">
        <v>-241</v>
      </c>
      <c r="C37" s="53">
        <v>596</v>
      </c>
      <c r="D37" s="53">
        <v>2371</v>
      </c>
      <c r="E37" s="53">
        <v>3033</v>
      </c>
      <c r="F37" s="53">
        <v>10073</v>
      </c>
      <c r="G37" s="53">
        <v>11588</v>
      </c>
      <c r="H37" s="53">
        <v>21331</v>
      </c>
      <c r="I37" s="53">
        <v>33364</v>
      </c>
      <c r="J37" s="51">
        <v>-2722</v>
      </c>
      <c r="K37" s="53">
        <v>30425</v>
      </c>
      <c r="L37" s="53">
        <v>44419</v>
      </c>
    </row>
    <row r="38" spans="1:12" x14ac:dyDescent="0.3">
      <c r="A38" s="65" t="s">
        <v>102</v>
      </c>
      <c r="B38" s="68">
        <v>-241</v>
      </c>
      <c r="C38" s="68">
        <v>596</v>
      </c>
      <c r="D38" s="68">
        <v>2371</v>
      </c>
      <c r="E38" s="68">
        <v>3033</v>
      </c>
      <c r="F38" s="68">
        <v>10073</v>
      </c>
      <c r="G38" s="68">
        <v>11588</v>
      </c>
      <c r="H38" s="68">
        <v>21331</v>
      </c>
      <c r="I38" s="68">
        <v>33364</v>
      </c>
      <c r="J38" s="68">
        <v>-2722</v>
      </c>
      <c r="K38" s="68">
        <v>30425</v>
      </c>
      <c r="L38" s="68">
        <v>44419</v>
      </c>
    </row>
    <row r="39" spans="1:12" x14ac:dyDescent="0.3">
      <c r="A39" s="64" t="s">
        <v>103</v>
      </c>
      <c r="B39" s="51">
        <v>-241</v>
      </c>
      <c r="C39" s="53">
        <v>596</v>
      </c>
      <c r="D39" s="53">
        <v>2371</v>
      </c>
      <c r="E39" s="53">
        <v>3033</v>
      </c>
      <c r="F39" s="53">
        <v>10073</v>
      </c>
      <c r="G39" s="53">
        <v>11588</v>
      </c>
      <c r="H39" s="53">
        <v>21331</v>
      </c>
      <c r="I39" s="53">
        <v>33364</v>
      </c>
      <c r="J39" s="51">
        <v>-2722</v>
      </c>
      <c r="K39" s="53">
        <v>30425</v>
      </c>
      <c r="L39" s="53">
        <v>44419</v>
      </c>
    </row>
    <row r="40" spans="1:12" x14ac:dyDescent="0.3">
      <c r="A40" s="65" t="s">
        <v>104</v>
      </c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</row>
    <row r="41" spans="1:12" x14ac:dyDescent="0.3">
      <c r="A41" s="64" t="s">
        <v>105</v>
      </c>
      <c r="B41" s="58">
        <v>-2.6082000000000001E-2</v>
      </c>
      <c r="C41" s="57">
        <v>6.2474000000000002E-2</v>
      </c>
      <c r="D41" s="57">
        <v>0.240093</v>
      </c>
      <c r="E41" s="57">
        <v>0.29986800000000002</v>
      </c>
      <c r="F41" s="57">
        <v>1.01647</v>
      </c>
      <c r="G41" s="57">
        <v>1.1488389999999999</v>
      </c>
      <c r="H41" s="57">
        <v>1.9883329999999999</v>
      </c>
      <c r="I41" s="57">
        <v>2.3665340000000001</v>
      </c>
      <c r="J41" s="57">
        <v>0.83221100000000003</v>
      </c>
      <c r="K41" s="57">
        <v>2.8324440000000002</v>
      </c>
      <c r="L41" s="57">
        <v>4.2137089999999997</v>
      </c>
    </row>
    <row r="42" spans="1:12" x14ac:dyDescent="0.3">
      <c r="A42" s="69" t="s">
        <v>106</v>
      </c>
      <c r="B42" s="75">
        <v>-2.5999999999999999E-2</v>
      </c>
      <c r="C42" s="75">
        <v>6.4000000000000001E-2</v>
      </c>
      <c r="D42" s="75">
        <v>0.25009999999999999</v>
      </c>
      <c r="E42" s="75">
        <v>0.316</v>
      </c>
      <c r="F42" s="75">
        <v>1.034</v>
      </c>
      <c r="G42" s="75">
        <v>1.1729000000000001</v>
      </c>
      <c r="H42" s="75">
        <v>2.1331000000000002</v>
      </c>
      <c r="I42" s="75">
        <v>3.2968000000000002</v>
      </c>
      <c r="J42" s="75">
        <v>-0.26719999999999999</v>
      </c>
      <c r="K42" s="75">
        <v>2.9527000000000001</v>
      </c>
      <c r="L42" s="75">
        <v>4.2774000000000001</v>
      </c>
    </row>
    <row r="43" spans="1:12" x14ac:dyDescent="0.3">
      <c r="A43" s="59" t="s">
        <v>107</v>
      </c>
      <c r="B43" s="57">
        <v>9240</v>
      </c>
      <c r="C43" s="57">
        <v>9340</v>
      </c>
      <c r="D43" s="57">
        <v>9480</v>
      </c>
      <c r="E43" s="57">
        <v>9600</v>
      </c>
      <c r="F43" s="57">
        <v>9740</v>
      </c>
      <c r="G43" s="57">
        <v>9880</v>
      </c>
      <c r="H43" s="57">
        <v>10000</v>
      </c>
      <c r="I43" s="57">
        <v>10120</v>
      </c>
      <c r="J43" s="57">
        <v>10189</v>
      </c>
      <c r="K43" s="57">
        <v>10304</v>
      </c>
      <c r="L43" s="57">
        <v>10447</v>
      </c>
    </row>
    <row r="44" spans="1:12" x14ac:dyDescent="0.3">
      <c r="A44" s="60" t="s">
        <v>108</v>
      </c>
      <c r="B44" s="73">
        <v>9300</v>
      </c>
      <c r="C44" s="73">
        <v>9420</v>
      </c>
      <c r="D44" s="73">
        <v>9540</v>
      </c>
      <c r="E44" s="73">
        <v>9680</v>
      </c>
      <c r="F44" s="73">
        <v>9820</v>
      </c>
      <c r="G44" s="73">
        <v>9960</v>
      </c>
      <c r="H44" s="73">
        <v>10060</v>
      </c>
      <c r="I44" s="73">
        <v>10180</v>
      </c>
      <c r="J44" s="73">
        <v>10242</v>
      </c>
      <c r="K44" s="73">
        <v>10383</v>
      </c>
      <c r="L44" s="73">
        <v>10490</v>
      </c>
    </row>
    <row r="45" spans="1:12" x14ac:dyDescent="0.3">
      <c r="A45" s="62" t="s">
        <v>109</v>
      </c>
      <c r="B45" s="74">
        <v>-2.5999999999999999E-2</v>
      </c>
      <c r="C45" s="74">
        <v>6.25E-2</v>
      </c>
      <c r="D45" s="74">
        <v>0.245</v>
      </c>
      <c r="E45" s="74">
        <v>0.3075</v>
      </c>
      <c r="F45" s="74">
        <v>1.0073000000000001</v>
      </c>
      <c r="G45" s="74">
        <v>1.1496</v>
      </c>
      <c r="H45" s="74">
        <v>2.0912999999999999</v>
      </c>
      <c r="I45" s="74">
        <v>3.2391999999999999</v>
      </c>
      <c r="J45" s="74">
        <v>-0.26719999999999999</v>
      </c>
      <c r="K45" s="74">
        <v>2.8997999999999999</v>
      </c>
      <c r="L45" s="74">
        <v>4.1738999999999997</v>
      </c>
    </row>
    <row r="46" spans="1:12" x14ac:dyDescent="0.3">
      <c r="A46" s="60" t="s">
        <v>110</v>
      </c>
      <c r="B46" s="73">
        <v>9240</v>
      </c>
      <c r="C46" s="73">
        <v>9540</v>
      </c>
      <c r="D46" s="73">
        <v>9680</v>
      </c>
      <c r="E46" s="73">
        <v>9860</v>
      </c>
      <c r="F46" s="73">
        <v>10000</v>
      </c>
      <c r="G46" s="73">
        <v>10080</v>
      </c>
      <c r="H46" s="73">
        <v>10200</v>
      </c>
      <c r="I46" s="73">
        <v>10300</v>
      </c>
      <c r="J46" s="73">
        <v>10189</v>
      </c>
      <c r="K46" s="73">
        <v>10492</v>
      </c>
      <c r="L46" s="73">
        <v>10708</v>
      </c>
    </row>
    <row r="47" spans="1:12" x14ac:dyDescent="0.3">
      <c r="A47" s="59" t="s">
        <v>108</v>
      </c>
      <c r="B47" s="57">
        <v>9300</v>
      </c>
      <c r="C47" s="57">
        <v>9420</v>
      </c>
      <c r="D47" s="57">
        <v>9540</v>
      </c>
      <c r="E47" s="57">
        <v>9680</v>
      </c>
      <c r="F47" s="57">
        <v>9820</v>
      </c>
      <c r="G47" s="57">
        <v>9960</v>
      </c>
      <c r="H47" s="57">
        <v>10060</v>
      </c>
      <c r="I47" s="57">
        <v>10180</v>
      </c>
      <c r="J47" s="57">
        <v>10242</v>
      </c>
      <c r="K47" s="57">
        <v>10383</v>
      </c>
      <c r="L47" s="57">
        <v>10490</v>
      </c>
    </row>
    <row r="48" spans="1:12" x14ac:dyDescent="0.3">
      <c r="A48" s="63" t="s">
        <v>111</v>
      </c>
      <c r="B48" s="73">
        <v>63.042000000000002</v>
      </c>
      <c r="C48" s="73">
        <v>70.867999999999995</v>
      </c>
      <c r="D48" s="73">
        <v>74.055000000000007</v>
      </c>
      <c r="E48" s="73">
        <v>57.155000000000001</v>
      </c>
      <c r="F48" s="73">
        <v>76.614000000000004</v>
      </c>
      <c r="G48" s="73">
        <v>74.36</v>
      </c>
      <c r="H48" s="73">
        <v>77.337999999999994</v>
      </c>
      <c r="I48" s="73">
        <v>68.89</v>
      </c>
      <c r="J48" s="73">
        <v>79.504000000000005</v>
      </c>
      <c r="K48" s="73">
        <v>85.314999999999998</v>
      </c>
      <c r="L48" s="50"/>
    </row>
    <row r="49" spans="1:12" x14ac:dyDescent="0.3">
      <c r="A49" s="70" t="s">
        <v>46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</row>
    <row r="50" spans="1:12" x14ac:dyDescent="0.3">
      <c r="A50" s="69" t="s">
        <v>46</v>
      </c>
      <c r="B50" s="68">
        <v>3533</v>
      </c>
      <c r="C50" s="68">
        <v>6946</v>
      </c>
      <c r="D50" s="68">
        <v>10406</v>
      </c>
      <c r="E50" s="68">
        <v>12972</v>
      </c>
      <c r="F50" s="68">
        <v>28058</v>
      </c>
      <c r="G50" s="68">
        <v>36531</v>
      </c>
      <c r="H50" s="68">
        <v>48075</v>
      </c>
      <c r="I50" s="68">
        <v>59237</v>
      </c>
      <c r="J50" s="68">
        <v>55432</v>
      </c>
      <c r="K50" s="68">
        <v>86282</v>
      </c>
      <c r="L50" s="68">
        <v>104772</v>
      </c>
    </row>
    <row r="51" spans="1:12" x14ac:dyDescent="0.3">
      <c r="A51" s="59" t="s">
        <v>50</v>
      </c>
      <c r="B51" s="53">
        <v>311</v>
      </c>
      <c r="C51" s="53">
        <v>2404</v>
      </c>
      <c r="D51" s="53">
        <v>4353</v>
      </c>
      <c r="E51" s="53">
        <v>4320</v>
      </c>
      <c r="F51" s="53">
        <v>12717</v>
      </c>
      <c r="G51" s="53">
        <v>14742</v>
      </c>
      <c r="H51" s="53">
        <v>22824</v>
      </c>
      <c r="I51" s="53">
        <v>24941</v>
      </c>
      <c r="J51" s="53">
        <v>13511</v>
      </c>
      <c r="K51" s="53">
        <v>37619</v>
      </c>
      <c r="L51" s="53">
        <v>55099</v>
      </c>
    </row>
    <row r="52" spans="1:12" x14ac:dyDescent="0.3">
      <c r="A52" s="60" t="s">
        <v>77</v>
      </c>
      <c r="B52" s="48">
        <v>3222</v>
      </c>
      <c r="C52" s="48">
        <v>4542</v>
      </c>
      <c r="D52" s="48">
        <v>6053</v>
      </c>
      <c r="E52" s="48">
        <v>8652</v>
      </c>
      <c r="F52" s="48">
        <v>15341</v>
      </c>
      <c r="G52" s="48">
        <v>21789</v>
      </c>
      <c r="H52" s="48">
        <v>25251</v>
      </c>
      <c r="I52" s="48">
        <v>34296</v>
      </c>
      <c r="J52" s="48">
        <v>41921</v>
      </c>
      <c r="K52" s="48">
        <v>48663</v>
      </c>
      <c r="L52" s="48">
        <v>49673</v>
      </c>
    </row>
    <row r="53" spans="1:12" x14ac:dyDescent="0.3">
      <c r="A53" s="56" t="s">
        <v>112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FD98-BB86-4723-91C7-D72CA43493FA}">
  <dimension ref="A1:E29"/>
  <sheetViews>
    <sheetView topLeftCell="A3" workbookViewId="0">
      <selection activeCell="D18" sqref="D18:D27"/>
    </sheetView>
  </sheetViews>
  <sheetFormatPr defaultRowHeight="14.4" x14ac:dyDescent="0.3"/>
  <cols>
    <col min="1" max="1" width="41.77734375" bestFit="1" customWidth="1"/>
    <col min="3" max="3" width="12.6640625" bestFit="1" customWidth="1"/>
  </cols>
  <sheetData>
    <row r="1" spans="1:5" ht="21" x14ac:dyDescent="0.4">
      <c r="A1" s="142" t="s">
        <v>199</v>
      </c>
      <c r="B1" s="143"/>
      <c r="C1" s="143"/>
      <c r="D1" s="143"/>
    </row>
    <row r="2" spans="1:5" x14ac:dyDescent="0.3">
      <c r="A2" s="144"/>
      <c r="B2" s="141"/>
      <c r="C2" s="141"/>
      <c r="D2" s="141"/>
    </row>
    <row r="3" spans="1:5" x14ac:dyDescent="0.3">
      <c r="A3" s="148" t="s">
        <v>200</v>
      </c>
      <c r="B3" s="149"/>
      <c r="C3" s="149"/>
      <c r="D3" s="149"/>
    </row>
    <row r="4" spans="1:5" x14ac:dyDescent="0.3">
      <c r="A4" s="150"/>
      <c r="B4" s="151"/>
      <c r="C4" s="151"/>
      <c r="D4" s="151"/>
    </row>
    <row r="5" spans="1:5" x14ac:dyDescent="0.3">
      <c r="A5" s="152" t="s">
        <v>201</v>
      </c>
      <c r="B5" s="141"/>
      <c r="C5" s="141"/>
      <c r="D5" s="145">
        <v>191.6</v>
      </c>
    </row>
    <row r="6" spans="1:5" x14ac:dyDescent="0.3">
      <c r="A6" s="153" t="s">
        <v>202</v>
      </c>
      <c r="B6" s="141"/>
      <c r="C6" s="141"/>
      <c r="D6" s="146">
        <v>10495.566881000001</v>
      </c>
    </row>
    <row r="7" spans="1:5" x14ac:dyDescent="0.3">
      <c r="A7" s="152" t="s">
        <v>203</v>
      </c>
      <c r="B7" s="141"/>
      <c r="C7" s="141"/>
      <c r="D7" s="154"/>
    </row>
    <row r="8" spans="1:5" x14ac:dyDescent="0.3">
      <c r="A8" s="152" t="s">
        <v>204</v>
      </c>
      <c r="B8" s="141"/>
      <c r="C8" s="141"/>
      <c r="D8" s="155"/>
    </row>
    <row r="9" spans="1:5" x14ac:dyDescent="0.3">
      <c r="A9" s="152" t="s">
        <v>205</v>
      </c>
      <c r="B9" s="141"/>
      <c r="C9" s="141"/>
      <c r="D9" s="155"/>
    </row>
    <row r="10" spans="1:5" x14ac:dyDescent="0.3">
      <c r="A10" s="152" t="s">
        <v>206</v>
      </c>
      <c r="B10" s="141"/>
      <c r="C10" s="141"/>
      <c r="D10" s="155"/>
    </row>
    <row r="11" spans="1:5" x14ac:dyDescent="0.3">
      <c r="A11" s="152" t="s">
        <v>207</v>
      </c>
      <c r="B11" s="141"/>
      <c r="C11" s="141"/>
      <c r="D11" s="146">
        <v>380.5</v>
      </c>
    </row>
    <row r="12" spans="1:5" x14ac:dyDescent="0.3">
      <c r="A12" s="152"/>
      <c r="B12" s="141"/>
      <c r="C12" s="141"/>
      <c r="D12" s="156"/>
    </row>
    <row r="13" spans="1:5" x14ac:dyDescent="0.3">
      <c r="A13" s="157" t="s">
        <v>208</v>
      </c>
      <c r="B13" s="141"/>
      <c r="C13" s="158"/>
      <c r="D13" s="159">
        <f>D6+D11</f>
        <v>10876.066881000001</v>
      </c>
    </row>
    <row r="14" spans="1:5" x14ac:dyDescent="0.3">
      <c r="A14" s="157"/>
      <c r="B14" s="141"/>
      <c r="C14" s="158"/>
      <c r="D14" s="155"/>
    </row>
    <row r="15" spans="1:5" x14ac:dyDescent="0.3">
      <c r="A15" s="148" t="s">
        <v>209</v>
      </c>
      <c r="B15" s="149"/>
      <c r="C15" s="149"/>
      <c r="D15" s="149"/>
    </row>
    <row r="16" spans="1:5" x14ac:dyDescent="0.3">
      <c r="A16" s="150"/>
      <c r="B16" s="151"/>
      <c r="C16" s="151"/>
      <c r="D16" s="151"/>
    </row>
    <row r="17" spans="1:4" x14ac:dyDescent="0.3">
      <c r="A17" s="141"/>
      <c r="B17" s="147" t="s">
        <v>210</v>
      </c>
      <c r="C17" s="147" t="s">
        <v>211</v>
      </c>
      <c r="D17" s="147" t="s">
        <v>212</v>
      </c>
    </row>
    <row r="18" spans="1:4" x14ac:dyDescent="0.3">
      <c r="A18" s="160">
        <v>1</v>
      </c>
      <c r="B18" s="146"/>
      <c r="C18" s="145"/>
      <c r="D18" s="161"/>
    </row>
    <row r="19" spans="1:4" x14ac:dyDescent="0.3">
      <c r="A19" s="160">
        <v>2</v>
      </c>
      <c r="B19" s="146"/>
      <c r="C19" s="146"/>
      <c r="D19" s="161"/>
    </row>
    <row r="20" spans="1:4" x14ac:dyDescent="0.3">
      <c r="A20" s="160">
        <v>3</v>
      </c>
      <c r="B20" s="146"/>
      <c r="C20" s="146"/>
      <c r="D20" s="161"/>
    </row>
    <row r="21" spans="1:4" x14ac:dyDescent="0.3">
      <c r="A21" s="160">
        <v>4</v>
      </c>
      <c r="B21" s="146"/>
      <c r="C21" s="146"/>
      <c r="D21" s="161"/>
    </row>
    <row r="22" spans="1:4" x14ac:dyDescent="0.3">
      <c r="A22" s="160">
        <v>5</v>
      </c>
      <c r="B22" s="146"/>
      <c r="C22" s="146"/>
      <c r="D22" s="161"/>
    </row>
    <row r="23" spans="1:4" x14ac:dyDescent="0.3">
      <c r="A23" s="160">
        <v>6</v>
      </c>
      <c r="B23" s="146"/>
      <c r="C23" s="146"/>
      <c r="D23" s="161"/>
    </row>
    <row r="24" spans="1:4" x14ac:dyDescent="0.3">
      <c r="A24" s="160">
        <v>7</v>
      </c>
      <c r="B24" s="146"/>
      <c r="C24" s="146"/>
      <c r="D24" s="161"/>
    </row>
    <row r="25" spans="1:4" x14ac:dyDescent="0.3">
      <c r="A25" s="160">
        <v>8</v>
      </c>
      <c r="B25" s="146"/>
      <c r="C25" s="146"/>
      <c r="D25" s="161"/>
    </row>
    <row r="26" spans="1:4" x14ac:dyDescent="0.3">
      <c r="A26" s="160">
        <v>9</v>
      </c>
      <c r="B26" s="146"/>
      <c r="C26" s="146"/>
      <c r="D26" s="161"/>
    </row>
    <row r="27" spans="1:4" x14ac:dyDescent="0.3">
      <c r="A27" s="160">
        <v>10</v>
      </c>
      <c r="B27" s="146"/>
      <c r="C27" s="146"/>
      <c r="D27" s="161"/>
    </row>
    <row r="28" spans="1:4" x14ac:dyDescent="0.3">
      <c r="A28" s="162"/>
      <c r="B28" s="163"/>
      <c r="C28" s="163"/>
      <c r="D28" s="164"/>
    </row>
    <row r="29" spans="1:4" x14ac:dyDescent="0.3">
      <c r="A29" s="165" t="s">
        <v>47</v>
      </c>
      <c r="B29" s="166"/>
      <c r="C29" s="166"/>
      <c r="D29" s="167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DCF</vt:lpstr>
      <vt:lpstr>Segments</vt:lpstr>
      <vt:lpstr>CFS</vt:lpstr>
      <vt:lpstr>WACC</vt:lpstr>
      <vt:lpstr>Income statement</vt:lpstr>
      <vt:lpstr>Diluted Shares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Basquill</dc:creator>
  <cp:lastModifiedBy>Sean Basquill</cp:lastModifiedBy>
  <dcterms:created xsi:type="dcterms:W3CDTF">2024-09-20T12:13:32Z</dcterms:created>
  <dcterms:modified xsi:type="dcterms:W3CDTF">2024-09-21T20:05:07Z</dcterms:modified>
</cp:coreProperties>
</file>